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s\PriveMetier\01 Section CAS\04 SUIVI DES EMPLOYEURS\02_IMPRIMES et DOCUMENTS\Simulateurs\"/>
    </mc:Choice>
  </mc:AlternateContent>
  <xr:revisionPtr revIDLastSave="0" documentId="8_{DBA7B63D-F6AF-41F0-A6C6-E4349C646155}" xr6:coauthVersionLast="36" xr6:coauthVersionMax="36" xr10:uidLastSave="{00000000-0000-0000-0000-000000000000}"/>
  <bookViews>
    <workbookView xWindow="0" yWindow="0" windowWidth="25200" windowHeight="11850" tabRatio="700" activeTab="4" xr2:uid="{00000000-000D-0000-FFFF-FFFF00000000}"/>
  </bookViews>
  <sheets>
    <sheet name="Valeurs" sheetId="4" r:id="rId1"/>
    <sheet name="Calcul cotisation Etat" sheetId="1" r:id="rId2"/>
    <sheet name="Surcotisation employeur Etat" sheetId="8" r:id="rId3"/>
    <sheet name="Calcul cotisation FPT-FPH" sheetId="5" r:id="rId4"/>
    <sheet name="Surcotisation employeur FPT-FPH" sheetId="7" r:id="rId5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8" i="7" l="1"/>
  <c r="Q7" i="7"/>
  <c r="Q6" i="7"/>
  <c r="Q5" i="7"/>
  <c r="Q4" i="7"/>
  <c r="Q8" i="8"/>
  <c r="Q7" i="8"/>
  <c r="Q6" i="8"/>
  <c r="Q5" i="8"/>
  <c r="Q4" i="8"/>
  <c r="AH8" i="8" l="1"/>
  <c r="AB8" i="8"/>
  <c r="AH7" i="8"/>
  <c r="AB7" i="8"/>
  <c r="AH6" i="8"/>
  <c r="AB6" i="8"/>
  <c r="AH5" i="8"/>
  <c r="AB5" i="8"/>
  <c r="AH4" i="8"/>
  <c r="AB4" i="8"/>
  <c r="AB5" i="7" l="1"/>
  <c r="AH5" i="7"/>
  <c r="AB6" i="7"/>
  <c r="AH6" i="7"/>
  <c r="AB7" i="7"/>
  <c r="AH7" i="7"/>
  <c r="AB8" i="7"/>
  <c r="AH8" i="7"/>
  <c r="AH4" i="7"/>
  <c r="AB4" i="7"/>
  <c r="J7" i="1" l="1"/>
  <c r="J7" i="5" l="1"/>
  <c r="J4" i="5"/>
  <c r="F5" i="5"/>
  <c r="J4" i="1"/>
  <c r="F5" i="1"/>
  <c r="F5" i="8" l="1"/>
  <c r="O8" i="8"/>
  <c r="O7" i="8"/>
  <c r="O4" i="8"/>
  <c r="O6" i="8"/>
  <c r="F4" i="8"/>
  <c r="F8" i="8"/>
  <c r="F6" i="8"/>
  <c r="W6" i="8" s="1"/>
  <c r="F7" i="8"/>
  <c r="O5" i="8"/>
  <c r="C5" i="5"/>
  <c r="O6" i="7"/>
  <c r="O13" i="7" l="1"/>
  <c r="AH13" i="7"/>
  <c r="W4" i="8"/>
  <c r="W7" i="8"/>
  <c r="W5" i="8"/>
  <c r="W8" i="8"/>
  <c r="Z7" i="8"/>
  <c r="AK7" i="8" s="1"/>
  <c r="Z6" i="8"/>
  <c r="AK6" i="8" s="1"/>
  <c r="Z4" i="8"/>
  <c r="AK4" i="8" s="1"/>
  <c r="Z5" i="8"/>
  <c r="AK5" i="8" s="1"/>
  <c r="Z13" i="8" s="1"/>
  <c r="F13" i="8"/>
  <c r="Z8" i="8"/>
  <c r="AK8" i="8" s="1"/>
  <c r="H5" i="5"/>
  <c r="L7" i="5" s="1"/>
  <c r="AK13" i="7"/>
  <c r="Q13" i="7"/>
  <c r="AF13" i="7"/>
  <c r="L13" i="7"/>
  <c r="AB13" i="7"/>
  <c r="H13" i="7"/>
  <c r="F8" i="7"/>
  <c r="F7" i="7"/>
  <c r="F6" i="7"/>
  <c r="Z6" i="7" s="1"/>
  <c r="AK6" i="7" s="1"/>
  <c r="O5" i="7"/>
  <c r="F4" i="7"/>
  <c r="O7" i="7"/>
  <c r="F5" i="7"/>
  <c r="O8" i="7"/>
  <c r="O4" i="7"/>
  <c r="C5" i="1"/>
  <c r="O13" i="8" l="1"/>
  <c r="AH13" i="8"/>
  <c r="H5" i="1"/>
  <c r="L7" i="1" s="1"/>
  <c r="AK13" i="8"/>
  <c r="Q13" i="8"/>
  <c r="H13" i="8"/>
  <c r="L13" i="8"/>
  <c r="AB13" i="8"/>
  <c r="AF13" i="8"/>
  <c r="P18" i="7"/>
  <c r="W18" i="7" s="1"/>
  <c r="AE18" i="7"/>
  <c r="AK18" i="7" s="1"/>
  <c r="Z4" i="7"/>
  <c r="AK4" i="7" s="1"/>
  <c r="W4" i="7"/>
  <c r="L4" i="5"/>
  <c r="K16" i="7" s="1"/>
  <c r="W7" i="7"/>
  <c r="Z7" i="7"/>
  <c r="AK7" i="7" s="1"/>
  <c r="Z5" i="7"/>
  <c r="AK5" i="7" s="1"/>
  <c r="Z8" i="7"/>
  <c r="W6" i="7"/>
  <c r="W5" i="7"/>
  <c r="W8" i="7"/>
  <c r="G3" i="4"/>
  <c r="G4" i="4"/>
  <c r="P18" i="8" l="1"/>
  <c r="W18" i="8" s="1"/>
  <c r="AN13" i="8"/>
  <c r="Y16" i="8" s="1"/>
  <c r="T13" i="8"/>
  <c r="F16" i="8" s="1"/>
  <c r="AE18" i="8"/>
  <c r="AK18" i="8" s="1"/>
  <c r="K18" i="7"/>
  <c r="AB18" i="7"/>
  <c r="AB16" i="7"/>
  <c r="N5" i="5"/>
  <c r="Z13" i="7"/>
  <c r="AN13" i="7" s="1"/>
  <c r="Y16" i="7" s="1"/>
  <c r="AK8" i="7"/>
  <c r="F13" i="7"/>
  <c r="T13" i="7" s="1"/>
  <c r="F16" i="7" s="1"/>
  <c r="T16" i="7" s="1"/>
  <c r="L4" i="1"/>
  <c r="K16" i="8" s="1"/>
  <c r="T16" i="8" l="1"/>
  <c r="AB18" i="8"/>
  <c r="AH18" i="8" s="1"/>
  <c r="K18" i="8"/>
  <c r="T18" i="8" s="1"/>
  <c r="AB16" i="8"/>
  <c r="AH16" i="8" s="1"/>
  <c r="AH16" i="7"/>
  <c r="AH18" i="7"/>
  <c r="T18" i="7"/>
  <c r="N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Clarisse ALBERT</author>
  </authors>
  <commentList>
    <comment ref="E37" authorId="0" shapeId="0" xr:uid="{58B0FE37-9F04-4394-ABCD-51FEC54FAD3C}">
      <text>
        <r>
          <rPr>
            <sz val="9"/>
            <color indexed="81"/>
            <rFont val="Tahoma"/>
            <family val="2"/>
          </rPr>
          <t>Décret 2019-1180 : taux abaissé à celui de la CNRACL si détachement initié ou renouvelé à/c du 01/01/2020 et que pour les civils</t>
        </r>
      </text>
    </comment>
    <comment ref="E40" authorId="0" shapeId="0" xr:uid="{CB0635D1-4D87-4684-B5AA-8737BE56D32D}">
      <text>
        <r>
          <rPr>
            <sz val="9"/>
            <color indexed="81"/>
            <rFont val="Tahoma"/>
            <family val="2"/>
          </rPr>
          <t>Décret 2024-49</t>
        </r>
      </text>
    </comment>
    <comment ref="D41" authorId="0" shapeId="0" xr:uid="{AA8BFE64-E76E-49D9-AC12-8F83748C377A}">
      <text>
        <r>
          <rPr>
            <b/>
            <sz val="9"/>
            <color indexed="81"/>
            <rFont val="Tahoma"/>
            <family val="2"/>
          </rPr>
          <t>Décret n°2025-61 du 22 janvier 2025</t>
        </r>
      </text>
    </comment>
    <comment ref="E41" authorId="0" shapeId="0" xr:uid="{61B991CE-6F34-4C1C-9E6B-9CDF73E35B37}">
      <text>
        <r>
          <rPr>
            <b/>
            <sz val="9"/>
            <color indexed="81"/>
            <rFont val="Tahoma"/>
            <family val="2"/>
          </rPr>
          <t>Décret n°2025-86 du 30 janvier 2025</t>
        </r>
      </text>
    </comment>
  </commentList>
</comments>
</file>

<file path=xl/sharedStrings.xml><?xml version="1.0" encoding="utf-8"?>
<sst xmlns="http://schemas.openxmlformats.org/spreadsheetml/2006/main" count="410" uniqueCount="64">
  <si>
    <t>Quotité travaillée</t>
  </si>
  <si>
    <t>Pourcentage rémunéré</t>
  </si>
  <si>
    <t>Indice majoré</t>
  </si>
  <si>
    <t>=</t>
  </si>
  <si>
    <t>Montant total versement</t>
  </si>
  <si>
    <t>x</t>
  </si>
  <si>
    <t>Taux de contribution</t>
  </si>
  <si>
    <t>Quotité de temps travaillé</t>
  </si>
  <si>
    <t>Quotité de temps non travaillé</t>
  </si>
  <si>
    <t>Date d'effet</t>
  </si>
  <si>
    <t>Taux représentatif</t>
  </si>
  <si>
    <t>Taux fixe</t>
  </si>
  <si>
    <t>QT</t>
  </si>
  <si>
    <t>QNT</t>
  </si>
  <si>
    <t>(</t>
  </si>
  <si>
    <t>)</t>
  </si>
  <si>
    <t>+</t>
  </si>
  <si>
    <t>((</t>
  </si>
  <si>
    <t>))</t>
  </si>
  <si>
    <t>-</t>
  </si>
  <si>
    <t>Montant de la surcotisation</t>
  </si>
  <si>
    <t>Montant  hors surcotisation</t>
  </si>
  <si>
    <t>Montant total avec surcotisation</t>
  </si>
  <si>
    <t>Valeur du point FP</t>
  </si>
  <si>
    <t>Variables à compléter</t>
  </si>
  <si>
    <t>Quotité rémunérée</t>
  </si>
  <si>
    <t>Taux de retenue</t>
  </si>
  <si>
    <t>Taux retenue</t>
  </si>
  <si>
    <t>Point FP</t>
  </si>
  <si>
    <t>Assiette *</t>
  </si>
  <si>
    <t>* Assiette = traitement indiciaire brut (TIB)</t>
  </si>
  <si>
    <r>
      <t xml:space="preserve">Date
</t>
    </r>
    <r>
      <rPr>
        <sz val="8"/>
        <color rgb="FF000000"/>
        <rFont val="Calibri"/>
        <family val="2"/>
      </rPr>
      <t>(jj/mm/aaaa)</t>
    </r>
  </si>
  <si>
    <t>Retenue salariale</t>
  </si>
  <si>
    <t>Contribution employeur</t>
  </si>
  <si>
    <t>Tx de retenue de droit commun</t>
  </si>
  <si>
    <t>Formule TAUX DE SURCOTISATION</t>
  </si>
  <si>
    <t>Taux employeur
CNRACL</t>
  </si>
  <si>
    <t>Décret n° 2019-1180</t>
  </si>
  <si>
    <t>Taux employeur hors ministère</t>
  </si>
  <si>
    <t>Plage prise en compte dans les formules</t>
  </si>
  <si>
    <t>applicable à compter du 01/01/2020</t>
  </si>
  <si>
    <t>Part agent</t>
  </si>
  <si>
    <t>Part employeur</t>
  </si>
  <si>
    <t>Vous pouvez compléter votre information en vous rendant sur le site des Retraites de l’État :</t>
  </si>
  <si>
    <t>Retraites de l'État - Le versement des cotisations (retraitesdeletat.gouv.fr)</t>
  </si>
  <si>
    <r>
      <t xml:space="preserve">Calcul des cotisations pour un fonctionnaire </t>
    </r>
    <r>
      <rPr>
        <b/>
        <u/>
        <sz val="18"/>
        <rFont val="Calibri"/>
        <family val="2"/>
      </rPr>
      <t>civil</t>
    </r>
    <r>
      <rPr>
        <b/>
        <sz val="18"/>
        <rFont val="Calibri"/>
        <family val="2"/>
      </rPr>
      <t xml:space="preserve"> 
employé en propre ou détaché dans la sphère FPE </t>
    </r>
  </si>
  <si>
    <t>Demande antérieure au 02/02/2024</t>
  </si>
  <si>
    <r>
      <t xml:space="preserve">Compléter l'onglet "Calcul cotisation FPT/FPH" pour voir s'afficher ici le résultat
</t>
    </r>
    <r>
      <rPr>
        <b/>
        <sz val="9"/>
        <color rgb="FFFF0000"/>
        <rFont val="Calibri"/>
        <family val="2"/>
      </rPr>
      <t>(détachement auprès d'un établissement FPT/FPH)</t>
    </r>
  </si>
  <si>
    <t>Formule MONTANT SURCOTISATION</t>
  </si>
  <si>
    <t>Taux de surcotisation</t>
  </si>
  <si>
    <t>X</t>
  </si>
  <si>
    <t xml:space="preserve"> +</t>
  </si>
  <si>
    <t xml:space="preserve">( </t>
  </si>
  <si>
    <t>Tx dérogatoire</t>
  </si>
  <si>
    <t>TIB temps plein agent de même grade</t>
  </si>
  <si>
    <t>Taux de droit commun + Taux représentatif de la contribution</t>
  </si>
  <si>
    <t>Taux de retenue de droit commun</t>
  </si>
  <si>
    <t>Taux de droit commun</t>
  </si>
  <si>
    <t>MONTANT SURCOTISATION</t>
  </si>
  <si>
    <r>
      <t xml:space="preserve">Demande de surcotisation formulée </t>
    </r>
    <r>
      <rPr>
        <b/>
        <u/>
        <sz val="18"/>
        <color theme="7" tint="0.79998168889431442"/>
        <rFont val="Calibri"/>
        <family val="2"/>
      </rPr>
      <t>à compter du 02/02/2024</t>
    </r>
  </si>
  <si>
    <r>
      <t xml:space="preserve">Compléter l'onglet "Calcul cotisation État" pour voir s'afficher ici le résultat
</t>
    </r>
    <r>
      <rPr>
        <b/>
        <sz val="9"/>
        <color rgb="FFFF0000"/>
        <rFont val="Calibri"/>
        <family val="2"/>
      </rPr>
      <t>(détachement auprès d'un établissement de la sphère FPE)</t>
    </r>
  </si>
  <si>
    <t>ATTENTION : surcotisation impossible 
pour un détachement ENCPP</t>
  </si>
  <si>
    <t>Montant hors surcotisation</t>
  </si>
  <si>
    <r>
      <t xml:space="preserve">Calcul des cotisations pour un fonctionnaire </t>
    </r>
    <r>
      <rPr>
        <b/>
        <u/>
        <sz val="18"/>
        <rFont val="Calibri"/>
        <family val="2"/>
      </rPr>
      <t>civil</t>
    </r>
    <r>
      <rPr>
        <b/>
        <sz val="18"/>
        <rFont val="Calibri"/>
        <family val="2"/>
      </rPr>
      <t xml:space="preserve"> 
détaché auprès d'un établissement FPT/FPH après le 01/01/2020 </t>
    </r>
    <r>
      <rPr>
        <b/>
        <sz val="12"/>
        <rFont val="Calibri"/>
        <family val="2"/>
      </rPr>
      <t>(décret 2019-1180)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</si>
</sst>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\ %"/>
    <numFmt numFmtId="165" formatCode="#,##0.00&quot; €&quot;"/>
    <numFmt numFmtId="166" formatCode="0\ %"/>
    <numFmt numFmtId="167" formatCode="0.0000"/>
    <numFmt numFmtId="168" formatCode="#,##0.0000"/>
    <numFmt numFmtId="169" formatCode="#,##0.00\ &quot;€&quot;"/>
  </numFmts>
  <fonts count="3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FF0000"/>
      <name val="Calibri"/>
      <family val="2"/>
    </font>
    <font>
      <sz val="14"/>
      <color rgb="FF000000"/>
      <name val="Calibri"/>
      <family val="2"/>
    </font>
    <font>
      <u/>
      <sz val="11"/>
      <color theme="10"/>
      <name val="Calibri"/>
      <family val="2"/>
      <charset val="1"/>
    </font>
    <font>
      <u/>
      <sz val="9"/>
      <color theme="10"/>
      <name val="Calibri"/>
      <family val="2"/>
      <charset val="1"/>
    </font>
    <font>
      <sz val="9"/>
      <color rgb="FF000000"/>
      <name val="Calibri"/>
      <family val="2"/>
    </font>
    <font>
      <sz val="9"/>
      <color indexed="81"/>
      <name val="Tahoma"/>
      <family val="2"/>
    </font>
    <font>
      <b/>
      <sz val="13"/>
      <color rgb="FFFF0000"/>
      <name val="Calibri"/>
      <family val="2"/>
    </font>
    <font>
      <b/>
      <sz val="18"/>
      <name val="Calibri"/>
      <family val="2"/>
    </font>
    <font>
      <b/>
      <u/>
      <sz val="18"/>
      <name val="Calibri"/>
      <family val="2"/>
    </font>
    <font>
      <b/>
      <sz val="9"/>
      <color rgb="FFFF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  <charset val="1"/>
    </font>
    <font>
      <b/>
      <sz val="18"/>
      <color theme="7" tint="0.79998168889431442"/>
      <name val="Calibri"/>
      <family val="2"/>
      <charset val="1"/>
    </font>
    <font>
      <b/>
      <sz val="18"/>
      <color theme="7" tint="0.79998168889431442"/>
      <name val="Calibri"/>
      <family val="2"/>
    </font>
    <font>
      <b/>
      <u/>
      <sz val="18"/>
      <color theme="7" tint="0.79998168889431442"/>
      <name val="Calibri"/>
      <family val="2"/>
    </font>
    <font>
      <sz val="10"/>
      <color rgb="FF000000"/>
      <name val="Calibri"/>
      <family val="2"/>
      <charset val="1"/>
    </font>
    <font>
      <b/>
      <u/>
      <sz val="12"/>
      <color rgb="FF000000"/>
      <name val="Calibri"/>
      <family val="2"/>
      <charset val="1"/>
    </font>
    <font>
      <b/>
      <u/>
      <sz val="12"/>
      <color rgb="FF000000"/>
      <name val="Calibri"/>
      <family val="2"/>
    </font>
    <font>
      <b/>
      <sz val="10"/>
      <color rgb="FF000000"/>
      <name val="Calibri"/>
      <family val="2"/>
      <charset val="1"/>
    </font>
    <font>
      <b/>
      <sz val="9"/>
      <color indexed="81"/>
      <name val="Tahoma"/>
      <family val="2"/>
    </font>
    <font>
      <b/>
      <sz val="12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 vertical="center" wrapText="1"/>
    </xf>
    <xf numFmtId="0" fontId="0" fillId="0" borderId="0" xfId="0" applyProtection="1"/>
    <xf numFmtId="164" fontId="0" fillId="0" borderId="0" xfId="0" applyNumberForma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vertical="center" textRotation="255" wrapText="1"/>
      <protection locked="0"/>
    </xf>
    <xf numFmtId="0" fontId="9" fillId="0" borderId="0" xfId="0" applyFont="1" applyProtection="1">
      <protection locked="0"/>
    </xf>
    <xf numFmtId="164" fontId="9" fillId="0" borderId="0" xfId="0" applyNumberFormat="1" applyFont="1" applyBorder="1" applyAlignment="1" applyProtection="1">
      <alignment horizontal="center" vertical="center" wrapText="1"/>
      <protection locked="0"/>
    </xf>
    <xf numFmtId="165" fontId="9" fillId="0" borderId="0" xfId="0" applyNumberFormat="1" applyFont="1" applyAlignment="1" applyProtection="1">
      <alignment horizontal="center" vertical="center" wrapText="1"/>
      <protection locked="0"/>
    </xf>
    <xf numFmtId="165" fontId="10" fillId="0" borderId="0" xfId="0" applyNumberFormat="1" applyFont="1" applyAlignment="1" applyProtection="1">
      <alignment horizontal="center" vertical="center" wrapText="1"/>
      <protection locked="0"/>
    </xf>
    <xf numFmtId="164" fontId="9" fillId="0" borderId="0" xfId="0" applyNumberFormat="1" applyFont="1" applyAlignment="1" applyProtection="1">
      <alignment horizontal="center" vertical="center" wrapText="1"/>
    </xf>
    <xf numFmtId="14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168" fontId="9" fillId="0" borderId="0" xfId="0" applyNumberFormat="1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vertical="top" wrapText="1"/>
      <protection locked="0"/>
    </xf>
    <xf numFmtId="0" fontId="0" fillId="2" borderId="0" xfId="0" applyFill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4" fontId="9" fillId="0" borderId="0" xfId="0" applyNumberFormat="1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4" fontId="9" fillId="0" borderId="5" xfId="0" applyNumberFormat="1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164" fontId="0" fillId="0" borderId="11" xfId="0" applyNumberFormat="1" applyFont="1" applyBorder="1" applyAlignment="1" applyProtection="1">
      <alignment horizontal="center" vertical="center" wrapText="1"/>
    </xf>
    <xf numFmtId="164" fontId="9" fillId="0" borderId="11" xfId="0" applyNumberFormat="1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164" fontId="9" fillId="0" borderId="14" xfId="0" applyNumberFormat="1" applyFont="1" applyBorder="1" applyAlignment="1" applyProtection="1">
      <alignment horizontal="center" vertical="center"/>
    </xf>
    <xf numFmtId="165" fontId="9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/>
      <protection locked="0"/>
    </xf>
    <xf numFmtId="164" fontId="9" fillId="0" borderId="0" xfId="0" applyNumberFormat="1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65" fontId="9" fillId="0" borderId="0" xfId="0" applyNumberFormat="1" applyFont="1" applyAlignment="1" applyProtection="1">
      <alignment horizontal="center" wrapText="1"/>
      <protection locked="0"/>
    </xf>
    <xf numFmtId="0" fontId="14" fillId="0" borderId="0" xfId="2" applyFont="1" applyAlignment="1" applyProtection="1">
      <alignment horizontal="center"/>
      <protection locked="0"/>
    </xf>
    <xf numFmtId="165" fontId="10" fillId="0" borderId="0" xfId="0" applyNumberFormat="1" applyFont="1" applyAlignment="1" applyProtection="1">
      <alignment horizontal="center" wrapText="1"/>
      <protection locked="0"/>
    </xf>
    <xf numFmtId="14" fontId="9" fillId="2" borderId="0" xfId="0" applyNumberFormat="1" applyFont="1" applyFill="1" applyAlignment="1" applyProtection="1">
      <alignment horizontal="center" vertical="center" wrapText="1"/>
    </xf>
    <xf numFmtId="167" fontId="0" fillId="2" borderId="0" xfId="0" applyNumberFormat="1" applyFont="1" applyFill="1" applyAlignment="1" applyProtection="1">
      <alignment horizontal="center" vertical="center" wrapText="1"/>
    </xf>
    <xf numFmtId="10" fontId="0" fillId="2" borderId="0" xfId="0" applyNumberFormat="1" applyFont="1" applyFill="1" applyAlignment="1" applyProtection="1">
      <alignment horizontal="center" vertical="center" wrapText="1"/>
    </xf>
    <xf numFmtId="10" fontId="9" fillId="2" borderId="0" xfId="0" applyNumberFormat="1" applyFont="1" applyFill="1" applyAlignment="1" applyProtection="1">
      <alignment horizontal="center" vertical="center" wrapText="1"/>
    </xf>
    <xf numFmtId="167" fontId="9" fillId="2" borderId="0" xfId="0" applyNumberFormat="1" applyFont="1" applyFill="1" applyAlignment="1" applyProtection="1">
      <alignment horizontal="center" vertical="center" wrapText="1"/>
    </xf>
    <xf numFmtId="10" fontId="1" fillId="2" borderId="0" xfId="0" applyNumberFormat="1" applyFont="1" applyFill="1" applyAlignment="1" applyProtection="1">
      <alignment horizontal="center" vertical="center" wrapText="1"/>
    </xf>
    <xf numFmtId="10" fontId="6" fillId="2" borderId="0" xfId="0" applyNumberFormat="1" applyFont="1" applyFill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164" fontId="9" fillId="0" borderId="2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14" fontId="6" fillId="3" borderId="0" xfId="0" applyNumberFormat="1" applyFont="1" applyFill="1" applyAlignment="1" applyProtection="1">
      <alignment horizontal="center" vertical="center" wrapText="1"/>
    </xf>
    <xf numFmtId="167" fontId="0" fillId="3" borderId="0" xfId="0" applyNumberFormat="1" applyFont="1" applyFill="1" applyAlignment="1" applyProtection="1">
      <alignment horizontal="center" vertical="center" wrapText="1"/>
    </xf>
    <xf numFmtId="10" fontId="6" fillId="3" borderId="0" xfId="0" applyNumberFormat="1" applyFont="1" applyFill="1" applyAlignment="1" applyProtection="1">
      <alignment horizontal="center" vertical="center" wrapText="1"/>
    </xf>
    <xf numFmtId="14" fontId="0" fillId="3" borderId="0" xfId="0" applyNumberFormat="1" applyFill="1" applyAlignment="1" applyProtection="1">
      <alignment horizontal="center" vertical="center" wrapText="1"/>
    </xf>
    <xf numFmtId="10" fontId="0" fillId="3" borderId="0" xfId="0" applyNumberFormat="1" applyFont="1" applyFill="1" applyAlignment="1" applyProtection="1">
      <alignment horizontal="center" vertical="center" wrapText="1"/>
    </xf>
    <xf numFmtId="14" fontId="0" fillId="3" borderId="0" xfId="0" applyNumberFormat="1" applyFont="1" applyFill="1" applyAlignment="1" applyProtection="1">
      <alignment horizontal="center" vertical="center" wrapText="1"/>
    </xf>
    <xf numFmtId="14" fontId="9" fillId="3" borderId="0" xfId="0" applyNumberFormat="1" applyFont="1" applyFill="1" applyAlignment="1" applyProtection="1">
      <alignment horizontal="center" vertical="center" wrapText="1"/>
    </xf>
    <xf numFmtId="14" fontId="1" fillId="3" borderId="0" xfId="0" applyNumberFormat="1" applyFont="1" applyFill="1" applyAlignment="1" applyProtection="1">
      <alignment horizontal="center" vertical="center" wrapText="1"/>
    </xf>
    <xf numFmtId="10" fontId="9" fillId="3" borderId="0" xfId="0" applyNumberFormat="1" applyFont="1" applyFill="1" applyAlignment="1" applyProtection="1">
      <alignment horizontal="center" vertical="center" wrapText="1"/>
    </xf>
    <xf numFmtId="167" fontId="9" fillId="3" borderId="0" xfId="0" applyNumberFormat="1" applyFont="1" applyFill="1" applyAlignment="1" applyProtection="1">
      <alignment horizontal="center" vertical="center" wrapText="1"/>
    </xf>
    <xf numFmtId="167" fontId="0" fillId="2" borderId="0" xfId="0" applyNumberFormat="1" applyFill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164" fontId="0" fillId="3" borderId="0" xfId="0" applyNumberFormat="1" applyFill="1" applyAlignment="1" applyProtection="1">
      <alignment horizontal="center" vertical="center" wrapText="1"/>
    </xf>
    <xf numFmtId="166" fontId="0" fillId="3" borderId="0" xfId="0" applyNumberFormat="1" applyFill="1" applyAlignment="1" applyProtection="1">
      <alignment horizontal="center" vertical="center" wrapText="1"/>
    </xf>
    <xf numFmtId="10" fontId="0" fillId="3" borderId="0" xfId="1" applyNumberFormat="1" applyFont="1" applyFill="1" applyAlignment="1" applyProtection="1">
      <alignment horizontal="center" vertical="center" wrapText="1"/>
    </xf>
    <xf numFmtId="167" fontId="0" fillId="3" borderId="0" xfId="0" applyNumberFormat="1" applyFill="1" applyAlignment="1" applyProtection="1">
      <alignment horizontal="center" vertical="center" wrapText="1"/>
    </xf>
    <xf numFmtId="10" fontId="0" fillId="2" borderId="0" xfId="1" applyNumberFormat="1" applyFont="1" applyFill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13" fillId="0" borderId="0" xfId="2"/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0" fillId="0" borderId="13" xfId="0" applyBorder="1" applyAlignment="1" applyProtection="1">
      <alignment vertical="center"/>
    </xf>
    <xf numFmtId="164" fontId="0" fillId="0" borderId="0" xfId="0" applyNumberFormat="1" applyBorder="1" applyAlignment="1" applyProtection="1">
      <alignment vertical="center"/>
    </xf>
    <xf numFmtId="164" fontId="0" fillId="0" borderId="0" xfId="0" applyNumberForma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</xf>
    <xf numFmtId="165" fontId="21" fillId="0" borderId="8" xfId="0" applyNumberFormat="1" applyFont="1" applyBorder="1" applyAlignment="1" applyProtection="1">
      <alignment horizontal="center" vertical="center"/>
    </xf>
    <xf numFmtId="165" fontId="21" fillId="0" borderId="10" xfId="0" applyNumberFormat="1" applyFont="1" applyBorder="1" applyAlignment="1" applyProtection="1">
      <alignment horizontal="center" vertical="center"/>
    </xf>
    <xf numFmtId="165" fontId="21" fillId="0" borderId="8" xfId="0" applyNumberFormat="1" applyFont="1" applyBorder="1" applyAlignment="1" applyProtection="1">
      <alignment horizontal="center" vertical="center"/>
    </xf>
    <xf numFmtId="165" fontId="21" fillId="0" borderId="10" xfId="0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26" fillId="0" borderId="11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164" fontId="26" fillId="0" borderId="14" xfId="0" applyNumberFormat="1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/>
    </xf>
    <xf numFmtId="164" fontId="27" fillId="0" borderId="0" xfId="0" applyNumberFormat="1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center" vertical="center"/>
    </xf>
    <xf numFmtId="0" fontId="28" fillId="0" borderId="6" xfId="0" applyFont="1" applyBorder="1" applyAlignment="1" applyProtection="1">
      <alignment horizontal="center" vertical="center"/>
    </xf>
    <xf numFmtId="0" fontId="28" fillId="0" borderId="7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10" fontId="0" fillId="0" borderId="11" xfId="1" applyNumberFormat="1" applyFont="1" applyBorder="1" applyAlignment="1" applyProtection="1">
      <alignment horizontal="center" vertical="center"/>
    </xf>
    <xf numFmtId="10" fontId="0" fillId="0" borderId="14" xfId="0" applyNumberFormat="1" applyBorder="1" applyAlignment="1" applyProtection="1">
      <alignment horizontal="center" vertical="center"/>
    </xf>
    <xf numFmtId="0" fontId="26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vertical="center"/>
    </xf>
    <xf numFmtId="0" fontId="26" fillId="0" borderId="11" xfId="0" applyFont="1" applyBorder="1" applyAlignment="1" applyProtection="1">
      <alignment vertical="center"/>
    </xf>
    <xf numFmtId="169" fontId="21" fillId="5" borderId="14" xfId="0" applyNumberFormat="1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28" fillId="0" borderId="16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 wrapText="1"/>
    </xf>
    <xf numFmtId="0" fontId="32" fillId="0" borderId="11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169" fontId="5" fillId="0" borderId="0" xfId="3" applyNumberFormat="1" applyFont="1" applyBorder="1" applyAlignment="1" applyProtection="1">
      <alignment horizontal="center" vertical="center"/>
    </xf>
    <xf numFmtId="0" fontId="17" fillId="3" borderId="13" xfId="0" applyFont="1" applyFill="1" applyBorder="1" applyAlignment="1" applyProtection="1">
      <alignment horizontal="center" vertical="center" wrapText="1"/>
    </xf>
    <xf numFmtId="0" fontId="17" fillId="3" borderId="11" xfId="0" applyFont="1" applyFill="1" applyBorder="1" applyAlignment="1" applyProtection="1">
      <alignment horizontal="center" vertical="center" wrapText="1"/>
    </xf>
    <xf numFmtId="0" fontId="17" fillId="3" borderId="14" xfId="0" applyFont="1" applyFill="1" applyBorder="1" applyAlignment="1" applyProtection="1">
      <alignment horizontal="center" vertical="center" wrapText="1"/>
    </xf>
    <xf numFmtId="0" fontId="28" fillId="0" borderId="6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8" fillId="0" borderId="7" xfId="0" applyFont="1" applyBorder="1" applyAlignment="1" applyProtection="1">
      <alignment horizontal="center" vertical="center"/>
    </xf>
    <xf numFmtId="165" fontId="21" fillId="0" borderId="8" xfId="0" applyNumberFormat="1" applyFont="1" applyBorder="1" applyAlignment="1" applyProtection="1">
      <alignment horizontal="center" vertical="center"/>
    </xf>
    <xf numFmtId="165" fontId="21" fillId="0" borderId="10" xfId="0" applyNumberFormat="1" applyFont="1" applyBorder="1" applyAlignment="1" applyProtection="1">
      <alignment horizontal="center" vertical="center"/>
    </xf>
    <xf numFmtId="165" fontId="5" fillId="0" borderId="9" xfId="0" applyNumberFormat="1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169" fontId="21" fillId="4" borderId="11" xfId="3" applyNumberFormat="1" applyFont="1" applyFill="1" applyBorder="1" applyAlignment="1" applyProtection="1">
      <alignment horizontal="center" vertical="center"/>
    </xf>
    <xf numFmtId="169" fontId="21" fillId="4" borderId="14" xfId="3" applyNumberFormat="1" applyFont="1" applyFill="1" applyBorder="1" applyAlignment="1" applyProtection="1">
      <alignment horizontal="center" vertical="center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center" vertical="center"/>
    </xf>
    <xf numFmtId="0" fontId="27" fillId="4" borderId="15" xfId="0" applyFont="1" applyFill="1" applyBorder="1" applyAlignment="1" applyProtection="1">
      <alignment horizontal="center" vertical="center"/>
    </xf>
    <xf numFmtId="0" fontId="27" fillId="4" borderId="16" xfId="0" applyFont="1" applyFill="1" applyBorder="1" applyAlignment="1" applyProtection="1">
      <alignment horizontal="center" vertical="center"/>
    </xf>
    <xf numFmtId="0" fontId="27" fillId="4" borderId="17" xfId="0" applyFont="1" applyFill="1" applyBorder="1" applyAlignment="1" applyProtection="1">
      <alignment horizontal="center" vertical="center"/>
    </xf>
    <xf numFmtId="165" fontId="21" fillId="0" borderId="5" xfId="0" applyNumberFormat="1" applyFont="1" applyBorder="1" applyAlignment="1" applyProtection="1">
      <alignment horizontal="center" vertical="center"/>
    </xf>
    <xf numFmtId="165" fontId="22" fillId="0" borderId="5" xfId="0" applyNumberFormat="1" applyFont="1" applyBorder="1" applyAlignment="1" applyProtection="1">
      <alignment horizontal="center" vertical="center"/>
    </xf>
    <xf numFmtId="169" fontId="22" fillId="0" borderId="8" xfId="3" applyNumberFormat="1" applyFont="1" applyBorder="1" applyAlignment="1" applyProtection="1">
      <alignment horizontal="center" vertical="center"/>
    </xf>
    <xf numFmtId="169" fontId="22" fillId="0" borderId="9" xfId="3" applyNumberFormat="1" applyFont="1" applyBorder="1" applyAlignment="1" applyProtection="1">
      <alignment horizontal="center" vertical="center"/>
    </xf>
    <xf numFmtId="169" fontId="22" fillId="0" borderId="10" xfId="3" applyNumberFormat="1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1" fillId="0" borderId="14" xfId="0" applyFont="1" applyBorder="1" applyAlignment="1" applyProtection="1">
      <alignment horizontal="center" vertical="center"/>
    </xf>
    <xf numFmtId="0" fontId="26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24" fillId="4" borderId="13" xfId="0" applyFont="1" applyFill="1" applyBorder="1" applyAlignment="1" applyProtection="1">
      <alignment horizontal="center" vertical="center" wrapText="1"/>
    </xf>
    <xf numFmtId="0" fontId="24" fillId="4" borderId="11" xfId="0" applyFont="1" applyFill="1" applyBorder="1" applyAlignment="1" applyProtection="1">
      <alignment horizontal="center" vertical="center" wrapText="1"/>
    </xf>
    <xf numFmtId="0" fontId="24" fillId="4" borderId="14" xfId="0" applyFont="1" applyFill="1" applyBorder="1" applyAlignment="1" applyProtection="1">
      <alignment horizontal="center" vertical="center" wrapText="1"/>
    </xf>
    <xf numFmtId="0" fontId="23" fillId="5" borderId="6" xfId="0" applyFont="1" applyFill="1" applyBorder="1" applyAlignment="1" applyProtection="1">
      <alignment horizontal="center" vertical="center" wrapText="1"/>
    </xf>
    <xf numFmtId="0" fontId="23" fillId="5" borderId="0" xfId="0" applyFont="1" applyFill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164" fontId="28" fillId="0" borderId="15" xfId="0" applyNumberFormat="1" applyFont="1" applyBorder="1" applyAlignment="1" applyProtection="1">
      <alignment horizontal="center" vertical="center" wrapText="1"/>
    </xf>
    <xf numFmtId="164" fontId="28" fillId="0" borderId="17" xfId="0" applyNumberFormat="1" applyFont="1" applyBorder="1" applyAlignment="1" applyProtection="1">
      <alignment horizontal="center" vertical="center" wrapText="1"/>
    </xf>
    <xf numFmtId="164" fontId="28" fillId="0" borderId="15" xfId="0" applyNumberFormat="1" applyFont="1" applyBorder="1" applyAlignment="1" applyProtection="1">
      <alignment horizontal="center" vertical="center"/>
    </xf>
    <xf numFmtId="164" fontId="28" fillId="0" borderId="16" xfId="0" applyNumberFormat="1" applyFont="1" applyBorder="1" applyAlignment="1" applyProtection="1">
      <alignment horizontal="center" vertical="center"/>
    </xf>
    <xf numFmtId="164" fontId="28" fillId="0" borderId="17" xfId="0" applyNumberFormat="1" applyFont="1" applyBorder="1" applyAlignment="1" applyProtection="1">
      <alignment horizontal="center" vertical="center"/>
    </xf>
    <xf numFmtId="164" fontId="28" fillId="5" borderId="15" xfId="0" applyNumberFormat="1" applyFont="1" applyFill="1" applyBorder="1" applyAlignment="1" applyProtection="1">
      <alignment horizontal="center" vertical="center"/>
    </xf>
    <xf numFmtId="164" fontId="28" fillId="5" borderId="16" xfId="0" applyNumberFormat="1" applyFont="1" applyFill="1" applyBorder="1" applyAlignment="1" applyProtection="1">
      <alignment horizontal="center" vertical="center"/>
    </xf>
    <xf numFmtId="164" fontId="28" fillId="5" borderId="17" xfId="0" applyNumberFormat="1" applyFont="1" applyFill="1" applyBorder="1" applyAlignment="1" applyProtection="1">
      <alignment horizontal="center" vertical="center"/>
    </xf>
    <xf numFmtId="169" fontId="21" fillId="0" borderId="8" xfId="0" applyNumberFormat="1" applyFont="1" applyBorder="1" applyAlignment="1" applyProtection="1">
      <alignment horizontal="center" vertical="center"/>
    </xf>
    <xf numFmtId="169" fontId="21" fillId="0" borderId="10" xfId="0" applyNumberFormat="1" applyFont="1" applyBorder="1" applyAlignment="1" applyProtection="1">
      <alignment horizontal="center" vertical="center"/>
    </xf>
    <xf numFmtId="169" fontId="21" fillId="0" borderId="9" xfId="0" applyNumberFormat="1" applyFont="1" applyBorder="1" applyAlignment="1" applyProtection="1">
      <alignment horizontal="center" vertical="center"/>
    </xf>
    <xf numFmtId="0" fontId="28" fillId="0" borderId="15" xfId="0" applyFont="1" applyBorder="1" applyAlignment="1" applyProtection="1">
      <alignment horizontal="center" vertical="center"/>
    </xf>
    <xf numFmtId="0" fontId="28" fillId="0" borderId="16" xfId="0" applyFont="1" applyBorder="1" applyAlignment="1" applyProtection="1">
      <alignment horizontal="center" vertical="center"/>
    </xf>
    <xf numFmtId="0" fontId="28" fillId="0" borderId="17" xfId="0" applyFont="1" applyBorder="1" applyAlignment="1" applyProtection="1">
      <alignment horizontal="center" vertical="center"/>
    </xf>
  </cellXfs>
  <cellStyles count="4">
    <cellStyle name="Lien hypertexte" xfId="2" builtinId="8"/>
    <cellStyle name="Monétaire" xfId="3" builtinId="4"/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5100F2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etraitesdeletat.gouv.fr/professionnels/le-versement-des-cotisa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retraitesdeletat.gouv.fr/professionnels/le-versement-des-cotisations" TargetMode="External"/><Relationship Id="rId1" Type="http://schemas.openxmlformats.org/officeDocument/2006/relationships/hyperlink" Target="https://www.legifrance.gouv.fr/loda/id/JORFTEXT00003938452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A60"/>
  <sheetViews>
    <sheetView topLeftCell="A19" zoomScaleNormal="100" workbookViewId="0">
      <selection activeCell="G15" sqref="G15"/>
    </sheetView>
  </sheetViews>
  <sheetFormatPr baseColWidth="10" defaultColWidth="11.42578125" defaultRowHeight="20.100000000000001" customHeight="1" x14ac:dyDescent="0.25"/>
  <cols>
    <col min="1" max="2" width="11.42578125" style="1"/>
    <col min="3" max="3" width="11.42578125" style="2"/>
    <col min="4" max="4" width="14.42578125" style="2" customWidth="1"/>
    <col min="5" max="5" width="11.42578125" style="1"/>
    <col min="6" max="6" width="13.5703125" style="1" customWidth="1"/>
    <col min="7" max="7" width="12.85546875" style="1" customWidth="1"/>
    <col min="8" max="8" width="22.5703125" style="1" customWidth="1"/>
    <col min="9" max="1015" width="11.42578125" style="1"/>
    <col min="1016" max="16384" width="11.42578125" style="3"/>
  </cols>
  <sheetData>
    <row r="1" spans="1:8" ht="57" customHeight="1" x14ac:dyDescent="0.25">
      <c r="A1" s="46" t="s">
        <v>9</v>
      </c>
      <c r="B1" s="46" t="s">
        <v>28</v>
      </c>
      <c r="C1" s="46" t="s">
        <v>27</v>
      </c>
      <c r="D1" s="46" t="s">
        <v>38</v>
      </c>
      <c r="E1" s="46" t="s">
        <v>36</v>
      </c>
      <c r="F1" s="25" t="s">
        <v>0</v>
      </c>
      <c r="G1" s="25" t="s">
        <v>25</v>
      </c>
      <c r="H1" s="67" t="s">
        <v>39</v>
      </c>
    </row>
    <row r="2" spans="1:8" ht="20.100000000000001" customHeight="1" x14ac:dyDescent="0.25">
      <c r="A2" s="61">
        <v>37257</v>
      </c>
      <c r="B2" s="47">
        <v>4.3181250000000002</v>
      </c>
      <c r="C2" s="60">
        <v>7.85E-2</v>
      </c>
      <c r="D2" s="60">
        <v>0.33</v>
      </c>
      <c r="E2" s="60">
        <v>0.26100000000000001</v>
      </c>
      <c r="F2" s="69">
        <v>1</v>
      </c>
      <c r="G2" s="69">
        <v>1</v>
      </c>
    </row>
    <row r="3" spans="1:8" ht="20.100000000000001" customHeight="1" x14ac:dyDescent="0.25">
      <c r="A3" s="61">
        <v>37316</v>
      </c>
      <c r="B3" s="47">
        <v>4.3440333333333339</v>
      </c>
      <c r="C3" s="60">
        <v>7.85E-2</v>
      </c>
      <c r="D3" s="60">
        <v>0.33</v>
      </c>
      <c r="E3" s="64">
        <v>0.26100000000000001</v>
      </c>
      <c r="F3" s="69">
        <v>0.9</v>
      </c>
      <c r="G3" s="70">
        <f>32/35</f>
        <v>0.91428571428571426</v>
      </c>
    </row>
    <row r="4" spans="1:8" ht="20.100000000000001" customHeight="1" x14ac:dyDescent="0.25">
      <c r="A4" s="61">
        <v>37591</v>
      </c>
      <c r="B4" s="47">
        <v>4.3744416666666668</v>
      </c>
      <c r="C4" s="60">
        <v>7.85E-2</v>
      </c>
      <c r="D4" s="60">
        <v>0.33</v>
      </c>
      <c r="E4" s="64">
        <v>0.26100000000000001</v>
      </c>
      <c r="F4" s="69">
        <v>0.8</v>
      </c>
      <c r="G4" s="70">
        <f>6/7</f>
        <v>0.8571428571428571</v>
      </c>
    </row>
    <row r="5" spans="1:8" ht="20.100000000000001" customHeight="1" x14ac:dyDescent="0.25">
      <c r="A5" s="61">
        <v>37622</v>
      </c>
      <c r="B5" s="57">
        <v>4.3744416666666668</v>
      </c>
      <c r="C5" s="60">
        <v>7.85E-2</v>
      </c>
      <c r="D5" s="60">
        <v>0.33</v>
      </c>
      <c r="E5" s="49">
        <v>0.26500000000000001</v>
      </c>
      <c r="F5" s="69">
        <v>0.7</v>
      </c>
      <c r="G5" s="69">
        <v>0.5</v>
      </c>
    </row>
    <row r="6" spans="1:8" ht="20.100000000000001" customHeight="1" x14ac:dyDescent="0.25">
      <c r="A6" s="61">
        <v>37987</v>
      </c>
      <c r="B6" s="47">
        <v>4.3963166666666664</v>
      </c>
      <c r="C6" s="60">
        <v>7.85E-2</v>
      </c>
      <c r="D6" s="60">
        <v>0.33</v>
      </c>
      <c r="E6" s="49">
        <v>0.26900000000000002</v>
      </c>
      <c r="F6" s="69">
        <v>0.6</v>
      </c>
      <c r="G6" s="69">
        <v>0.5</v>
      </c>
    </row>
    <row r="7" spans="1:8" ht="20.100000000000001" customHeight="1" x14ac:dyDescent="0.25">
      <c r="A7" s="61">
        <v>38353</v>
      </c>
      <c r="B7" s="57">
        <v>4.3963166666666664</v>
      </c>
      <c r="C7" s="60">
        <v>7.85E-2</v>
      </c>
      <c r="D7" s="60">
        <v>0.33</v>
      </c>
      <c r="E7" s="49">
        <v>0.27300000000000002</v>
      </c>
      <c r="F7" s="69">
        <v>0.5</v>
      </c>
      <c r="G7" s="69">
        <v>0.5</v>
      </c>
    </row>
    <row r="8" spans="1:8" ht="20.100000000000001" customHeight="1" x14ac:dyDescent="0.25">
      <c r="A8" s="61">
        <v>38384</v>
      </c>
      <c r="B8" s="47">
        <v>4.4183000000000003</v>
      </c>
      <c r="C8" s="60">
        <v>7.85E-2</v>
      </c>
      <c r="D8" s="60">
        <v>0.33</v>
      </c>
      <c r="E8" s="64">
        <v>0.27300000000000002</v>
      </c>
    </row>
    <row r="9" spans="1:8" ht="20.100000000000001" customHeight="1" x14ac:dyDescent="0.25">
      <c r="A9" s="61">
        <v>38534</v>
      </c>
      <c r="B9" s="47">
        <v>4.4403916666666667</v>
      </c>
      <c r="C9" s="60">
        <v>7.85E-2</v>
      </c>
      <c r="D9" s="60">
        <v>0.33</v>
      </c>
      <c r="E9" s="64">
        <v>0.27300000000000002</v>
      </c>
    </row>
    <row r="10" spans="1:8" ht="20.100000000000001" customHeight="1" x14ac:dyDescent="0.25">
      <c r="A10" s="61">
        <v>38657</v>
      </c>
      <c r="B10" s="47">
        <v>4.4759166666666665</v>
      </c>
      <c r="C10" s="60">
        <v>7.85E-2</v>
      </c>
      <c r="D10" s="60">
        <v>0.33</v>
      </c>
      <c r="E10" s="64">
        <v>0.27300000000000002</v>
      </c>
    </row>
    <row r="11" spans="1:8" ht="20.100000000000001" customHeight="1" x14ac:dyDescent="0.25">
      <c r="A11" s="61">
        <v>38718</v>
      </c>
      <c r="B11" s="57">
        <v>4.4759166666666665</v>
      </c>
      <c r="C11" s="60">
        <v>7.85E-2</v>
      </c>
      <c r="D11" s="60">
        <v>0.33</v>
      </c>
      <c r="E11" s="64">
        <v>0.27300000000000002</v>
      </c>
    </row>
    <row r="12" spans="1:8" ht="20.100000000000001" customHeight="1" x14ac:dyDescent="0.25">
      <c r="A12" s="61">
        <v>38899</v>
      </c>
      <c r="B12" s="47">
        <v>4.4982916666666668</v>
      </c>
      <c r="C12" s="60">
        <v>7.85E-2</v>
      </c>
      <c r="D12" s="60">
        <v>0.33</v>
      </c>
      <c r="E12" s="64">
        <v>0.27300000000000002</v>
      </c>
    </row>
    <row r="13" spans="1:8" ht="20.100000000000001" customHeight="1" x14ac:dyDescent="0.25">
      <c r="A13" s="61">
        <v>39083</v>
      </c>
      <c r="B13" s="57">
        <v>4.4982916666666668</v>
      </c>
      <c r="C13" s="60">
        <v>7.85E-2</v>
      </c>
      <c r="D13" s="48">
        <v>0.39500000000000002</v>
      </c>
      <c r="E13" s="64">
        <v>0.27300000000000002</v>
      </c>
    </row>
    <row r="14" spans="1:8" ht="20.100000000000001" customHeight="1" x14ac:dyDescent="0.25">
      <c r="A14" s="61">
        <v>39114</v>
      </c>
      <c r="B14" s="47">
        <v>4.5342750000000001</v>
      </c>
      <c r="C14" s="60">
        <v>7.85E-2</v>
      </c>
      <c r="D14" s="60">
        <v>0.39500000000000002</v>
      </c>
      <c r="E14" s="64">
        <v>0.27300000000000002</v>
      </c>
    </row>
    <row r="15" spans="1:8" ht="20.100000000000001" customHeight="1" x14ac:dyDescent="0.25">
      <c r="A15" s="62">
        <v>39448</v>
      </c>
      <c r="B15" s="65">
        <v>4.5342750000000001</v>
      </c>
      <c r="C15" s="64">
        <v>7.85E-2</v>
      </c>
      <c r="D15" s="49">
        <v>0.5</v>
      </c>
      <c r="E15" s="64">
        <v>0.27300000000000002</v>
      </c>
    </row>
    <row r="16" spans="1:8" ht="20.100000000000001" customHeight="1" x14ac:dyDescent="0.25">
      <c r="A16" s="62">
        <v>39508</v>
      </c>
      <c r="B16" s="50">
        <v>4.5569500000000005</v>
      </c>
      <c r="C16" s="64">
        <v>7.85E-2</v>
      </c>
      <c r="D16" s="64">
        <v>0.5</v>
      </c>
      <c r="E16" s="64">
        <v>0.27300000000000002</v>
      </c>
    </row>
    <row r="17" spans="1:5" ht="20.100000000000001" customHeight="1" x14ac:dyDescent="0.25">
      <c r="A17" s="62">
        <v>39722</v>
      </c>
      <c r="B17" s="50">
        <v>4.5706249999999997</v>
      </c>
      <c r="C17" s="64">
        <v>7.85E-2</v>
      </c>
      <c r="D17" s="64">
        <v>0.5</v>
      </c>
      <c r="E17" s="64">
        <v>0.27300000000000002</v>
      </c>
    </row>
    <row r="18" spans="1:5" ht="20.100000000000001" customHeight="1" x14ac:dyDescent="0.25">
      <c r="A18" s="63">
        <v>39814</v>
      </c>
      <c r="B18" s="65">
        <v>4.5706249999999997</v>
      </c>
      <c r="C18" s="64">
        <v>7.85E-2</v>
      </c>
      <c r="D18" s="49">
        <v>0.60140000000000005</v>
      </c>
      <c r="E18" s="64">
        <v>0.27300000000000002</v>
      </c>
    </row>
    <row r="19" spans="1:5" ht="20.100000000000001" customHeight="1" x14ac:dyDescent="0.25">
      <c r="A19" s="62">
        <v>39995</v>
      </c>
      <c r="B19" s="50">
        <v>4.5934749999999998</v>
      </c>
      <c r="C19" s="64">
        <v>7.85E-2</v>
      </c>
      <c r="D19" s="64">
        <v>0.60140000000000005</v>
      </c>
      <c r="E19" s="64">
        <v>0.27300000000000002</v>
      </c>
    </row>
    <row r="20" spans="1:5" ht="20.100000000000001" customHeight="1" x14ac:dyDescent="0.25">
      <c r="A20" s="62">
        <v>40087</v>
      </c>
      <c r="B20" s="50">
        <v>4.6072583333333332</v>
      </c>
      <c r="C20" s="64">
        <v>7.85E-2</v>
      </c>
      <c r="D20" s="64">
        <v>0.60140000000000005</v>
      </c>
      <c r="E20" s="64">
        <v>0.27300000000000002</v>
      </c>
    </row>
    <row r="21" spans="1:5" ht="20.100000000000001" customHeight="1" x14ac:dyDescent="0.25">
      <c r="A21" s="62">
        <v>40148</v>
      </c>
      <c r="B21" s="65">
        <v>4.6072583333333332</v>
      </c>
      <c r="C21" s="64">
        <v>7.85E-2</v>
      </c>
      <c r="D21" s="64">
        <v>0.60140000000000005</v>
      </c>
      <c r="E21" s="64">
        <v>0.27300000000000002</v>
      </c>
    </row>
    <row r="22" spans="1:5" ht="20.100000000000001" customHeight="1" x14ac:dyDescent="0.25">
      <c r="A22" s="62">
        <v>40179</v>
      </c>
      <c r="B22" s="65">
        <v>4.6072583333333332</v>
      </c>
      <c r="C22" s="64">
        <v>7.85E-2</v>
      </c>
      <c r="D22" s="49">
        <v>0.62139999999999995</v>
      </c>
      <c r="E22" s="64">
        <v>0.27300000000000002</v>
      </c>
    </row>
    <row r="23" spans="1:5" ht="20.100000000000001" customHeight="1" x14ac:dyDescent="0.25">
      <c r="A23" s="62">
        <v>40360</v>
      </c>
      <c r="B23" s="50">
        <v>4.6302916666666674</v>
      </c>
      <c r="C23" s="64">
        <v>7.85E-2</v>
      </c>
      <c r="D23" s="64">
        <v>0.62139999999999995</v>
      </c>
      <c r="E23" s="64">
        <v>0.27300000000000002</v>
      </c>
    </row>
    <row r="24" spans="1:5" ht="20.100000000000001" customHeight="1" x14ac:dyDescent="0.25">
      <c r="A24" s="62">
        <v>40544</v>
      </c>
      <c r="B24" s="65">
        <v>4.6302916666666674</v>
      </c>
      <c r="C24" s="49">
        <v>8.1199999999999994E-2</v>
      </c>
      <c r="D24" s="49">
        <v>0.65390000000000004</v>
      </c>
      <c r="E24" s="64">
        <v>0.27300000000000002</v>
      </c>
    </row>
    <row r="25" spans="1:5" ht="20.100000000000001" customHeight="1" x14ac:dyDescent="0.25">
      <c r="A25" s="62">
        <v>40909</v>
      </c>
      <c r="B25" s="65">
        <v>4.6302916666666674</v>
      </c>
      <c r="C25" s="51">
        <v>8.3900000000000002E-2</v>
      </c>
      <c r="D25" s="49">
        <v>0.68589999999999995</v>
      </c>
      <c r="E25" s="64">
        <v>0.27300000000000002</v>
      </c>
    </row>
    <row r="26" spans="1:5" ht="20.100000000000001" customHeight="1" x14ac:dyDescent="0.25">
      <c r="A26" s="62">
        <v>41214</v>
      </c>
      <c r="B26" s="65">
        <v>4.6302916666666674</v>
      </c>
      <c r="C26" s="51">
        <v>8.4900000000000003E-2</v>
      </c>
      <c r="D26" s="64">
        <v>0.68589999999999995</v>
      </c>
      <c r="E26" s="49">
        <v>0.27400000000000002</v>
      </c>
    </row>
    <row r="27" spans="1:5" ht="20.100000000000001" customHeight="1" x14ac:dyDescent="0.25">
      <c r="A27" s="62">
        <v>41275</v>
      </c>
      <c r="B27" s="65">
        <v>4.6302916666666674</v>
      </c>
      <c r="C27" s="49">
        <v>8.7599999999999997E-2</v>
      </c>
      <c r="D27" s="49">
        <v>0.74280000000000002</v>
      </c>
      <c r="E27" s="49">
        <v>0.28849999999999998</v>
      </c>
    </row>
    <row r="28" spans="1:5" ht="20.100000000000001" customHeight="1" x14ac:dyDescent="0.25">
      <c r="A28" s="63">
        <v>41609</v>
      </c>
      <c r="B28" s="65">
        <v>4.6302916666666674</v>
      </c>
      <c r="C28" s="64">
        <v>8.7599999999999997E-2</v>
      </c>
      <c r="D28" s="64">
        <v>0.74280000000000002</v>
      </c>
      <c r="E28" s="64">
        <v>0.28849999999999998</v>
      </c>
    </row>
    <row r="29" spans="1:5" ht="20.100000000000001" customHeight="1" x14ac:dyDescent="0.25">
      <c r="A29" s="56">
        <v>41640</v>
      </c>
      <c r="B29" s="65">
        <v>4.6302916666666674</v>
      </c>
      <c r="C29" s="52">
        <v>9.1399999999999995E-2</v>
      </c>
      <c r="D29" s="58">
        <v>0.74280000000000002</v>
      </c>
      <c r="E29" s="52">
        <v>0.30399999999999999</v>
      </c>
    </row>
    <row r="30" spans="1:5" ht="20.100000000000001" customHeight="1" x14ac:dyDescent="0.25">
      <c r="A30" s="62">
        <v>42005</v>
      </c>
      <c r="B30" s="65">
        <v>4.6302916666666674</v>
      </c>
      <c r="C30" s="49">
        <v>9.5399999999999999E-2</v>
      </c>
      <c r="D30" s="64">
        <v>0.74280000000000002</v>
      </c>
      <c r="E30" s="49">
        <v>0.30499999999999999</v>
      </c>
    </row>
    <row r="31" spans="1:5" ht="20.100000000000001" customHeight="1" x14ac:dyDescent="0.25">
      <c r="A31" s="56">
        <v>42370</v>
      </c>
      <c r="B31" s="65">
        <v>4.6302916666666674</v>
      </c>
      <c r="C31" s="52">
        <v>9.9400000000000002E-2</v>
      </c>
      <c r="D31" s="58">
        <v>0.74280000000000002</v>
      </c>
      <c r="E31" s="52">
        <v>0.30599999999999999</v>
      </c>
    </row>
    <row r="32" spans="1:5" ht="20.100000000000001" customHeight="1" x14ac:dyDescent="0.25">
      <c r="A32" s="62">
        <v>42552</v>
      </c>
      <c r="B32" s="50">
        <v>4.6580749999999993</v>
      </c>
      <c r="C32" s="58">
        <v>9.9400000000000002E-2</v>
      </c>
      <c r="D32" s="58">
        <v>0.74280000000000002</v>
      </c>
      <c r="E32" s="58">
        <v>0.30599999999999999</v>
      </c>
    </row>
    <row r="33" spans="1:5" ht="20.100000000000001" customHeight="1" x14ac:dyDescent="0.25">
      <c r="A33" s="62">
        <v>42736</v>
      </c>
      <c r="B33" s="65">
        <v>4.6580749999999993</v>
      </c>
      <c r="C33" s="49">
        <v>0.10290000000000001</v>
      </c>
      <c r="D33" s="64">
        <v>0.74280000000000002</v>
      </c>
      <c r="E33" s="49">
        <v>0.30649999999999999</v>
      </c>
    </row>
    <row r="34" spans="1:5" ht="20.100000000000001" customHeight="1" x14ac:dyDescent="0.25">
      <c r="A34" s="62">
        <v>42767</v>
      </c>
      <c r="B34" s="50">
        <v>4.6860249999999999</v>
      </c>
      <c r="C34" s="64">
        <v>0.10290000000000001</v>
      </c>
      <c r="D34" s="64">
        <v>0.74280000000000002</v>
      </c>
      <c r="E34" s="64">
        <v>0.30649999999999999</v>
      </c>
    </row>
    <row r="35" spans="1:5" ht="20.100000000000001" customHeight="1" x14ac:dyDescent="0.25">
      <c r="A35" s="56">
        <v>43101</v>
      </c>
      <c r="B35" s="65">
        <v>4.6860249999999999</v>
      </c>
      <c r="C35" s="52">
        <v>0.1056</v>
      </c>
      <c r="D35" s="58">
        <v>0.74280000000000002</v>
      </c>
      <c r="E35" s="64">
        <v>0.30649999999999999</v>
      </c>
    </row>
    <row r="36" spans="1:5" ht="20.100000000000001" customHeight="1" x14ac:dyDescent="0.25">
      <c r="A36" s="56">
        <v>43466</v>
      </c>
      <c r="B36" s="65">
        <v>4.6860249999999999</v>
      </c>
      <c r="C36" s="52">
        <v>0.10829999999999999</v>
      </c>
      <c r="D36" s="58">
        <v>0.74280000000000002</v>
      </c>
      <c r="E36" s="64">
        <v>0.30649999999999999</v>
      </c>
    </row>
    <row r="37" spans="1:5" ht="20.100000000000001" customHeight="1" x14ac:dyDescent="0.25">
      <c r="A37" s="56">
        <v>43831</v>
      </c>
      <c r="B37" s="65">
        <v>4.6860249999999999</v>
      </c>
      <c r="C37" s="52">
        <v>0.111</v>
      </c>
      <c r="D37" s="58">
        <v>0.74280000000000002</v>
      </c>
      <c r="E37" s="64">
        <v>0.30649999999999999</v>
      </c>
    </row>
    <row r="38" spans="1:5" ht="20.100000000000001" customHeight="1" x14ac:dyDescent="0.25">
      <c r="A38" s="62">
        <v>44743</v>
      </c>
      <c r="B38" s="50">
        <v>4.8500333333333332</v>
      </c>
      <c r="C38" s="58">
        <v>0.111</v>
      </c>
      <c r="D38" s="58">
        <v>0.74280000000000002</v>
      </c>
      <c r="E38" s="64">
        <v>0.30649999999999999</v>
      </c>
    </row>
    <row r="39" spans="1:5" ht="20.100000000000001" customHeight="1" x14ac:dyDescent="0.25">
      <c r="A39" s="59">
        <v>45108</v>
      </c>
      <c r="B39" s="66">
        <v>4.9227833333333333</v>
      </c>
      <c r="C39" s="58">
        <v>0.111</v>
      </c>
      <c r="D39" s="58">
        <v>0.74280000000000002</v>
      </c>
      <c r="E39" s="64">
        <v>0.30649999999999999</v>
      </c>
    </row>
    <row r="40" spans="1:5" ht="20.100000000000001" customHeight="1" x14ac:dyDescent="0.25">
      <c r="A40" s="59">
        <v>45292</v>
      </c>
      <c r="B40" s="71">
        <v>4.9227833333333333</v>
      </c>
      <c r="C40" s="68">
        <v>0.111</v>
      </c>
      <c r="D40" s="68">
        <v>0.74280000000000002</v>
      </c>
      <c r="E40" s="72">
        <v>0.3165</v>
      </c>
    </row>
    <row r="41" spans="1:5" ht="20.100000000000001" customHeight="1" x14ac:dyDescent="0.25">
      <c r="A41" s="59">
        <v>45658</v>
      </c>
      <c r="B41" s="71">
        <v>4.9227833333333333</v>
      </c>
      <c r="C41" s="68">
        <v>0.111</v>
      </c>
      <c r="D41" s="120">
        <v>0.78280000000000005</v>
      </c>
      <c r="E41" s="52">
        <v>0.34649999999999997</v>
      </c>
    </row>
    <row r="42" spans="1:5" ht="20.100000000000001" customHeight="1" x14ac:dyDescent="0.25">
      <c r="A42" s="67"/>
      <c r="B42" s="67"/>
      <c r="C42" s="68"/>
      <c r="D42" s="68"/>
      <c r="E42" s="67"/>
    </row>
    <row r="43" spans="1:5" ht="20.100000000000001" customHeight="1" x14ac:dyDescent="0.25">
      <c r="A43" s="67"/>
      <c r="B43" s="67"/>
      <c r="C43" s="68"/>
      <c r="D43" s="68"/>
      <c r="E43" s="67"/>
    </row>
    <row r="44" spans="1:5" ht="20.100000000000001" customHeight="1" x14ac:dyDescent="0.25">
      <c r="A44" s="67"/>
      <c r="B44" s="67"/>
      <c r="C44" s="68"/>
      <c r="D44" s="68"/>
      <c r="E44" s="67"/>
    </row>
    <row r="45" spans="1:5" ht="20.100000000000001" customHeight="1" x14ac:dyDescent="0.25">
      <c r="A45" s="67"/>
      <c r="B45" s="67"/>
      <c r="C45" s="68"/>
      <c r="D45" s="68"/>
      <c r="E45" s="67"/>
    </row>
    <row r="46" spans="1:5" ht="20.100000000000001" customHeight="1" x14ac:dyDescent="0.25">
      <c r="A46" s="67"/>
      <c r="B46" s="67"/>
      <c r="C46" s="68"/>
      <c r="D46" s="68"/>
      <c r="E46" s="67"/>
    </row>
    <row r="47" spans="1:5" ht="20.100000000000001" customHeight="1" x14ac:dyDescent="0.25">
      <c r="A47" s="67"/>
      <c r="B47" s="67"/>
      <c r="C47" s="68"/>
      <c r="D47" s="68"/>
      <c r="E47" s="67"/>
    </row>
    <row r="48" spans="1:5" ht="20.100000000000001" customHeight="1" x14ac:dyDescent="0.25">
      <c r="A48" s="67"/>
      <c r="B48" s="67"/>
      <c r="C48" s="68"/>
      <c r="D48" s="68"/>
      <c r="E48" s="67"/>
    </row>
    <row r="49" spans="1:5" ht="20.100000000000001" customHeight="1" x14ac:dyDescent="0.25">
      <c r="A49" s="67"/>
      <c r="B49" s="67"/>
      <c r="C49" s="68"/>
      <c r="D49" s="68"/>
      <c r="E49" s="67"/>
    </row>
    <row r="50" spans="1:5" ht="20.100000000000001" customHeight="1" x14ac:dyDescent="0.25">
      <c r="A50" s="67"/>
      <c r="B50" s="67"/>
      <c r="C50" s="68"/>
      <c r="D50" s="68"/>
      <c r="E50" s="67"/>
    </row>
    <row r="51" spans="1:5" ht="20.100000000000001" customHeight="1" x14ac:dyDescent="0.25">
      <c r="A51" s="67"/>
      <c r="B51" s="67"/>
      <c r="C51" s="68"/>
      <c r="D51" s="68"/>
      <c r="E51" s="67"/>
    </row>
    <row r="52" spans="1:5" ht="20.100000000000001" customHeight="1" x14ac:dyDescent="0.25">
      <c r="A52" s="67"/>
      <c r="B52" s="67"/>
      <c r="C52" s="68"/>
      <c r="D52" s="68"/>
      <c r="E52" s="67"/>
    </row>
    <row r="53" spans="1:5" ht="20.100000000000001" customHeight="1" x14ac:dyDescent="0.25">
      <c r="A53" s="67"/>
      <c r="B53" s="67"/>
      <c r="C53" s="68"/>
      <c r="D53" s="68"/>
      <c r="E53" s="67"/>
    </row>
    <row r="54" spans="1:5" ht="20.100000000000001" customHeight="1" x14ac:dyDescent="0.25">
      <c r="A54" s="67"/>
      <c r="B54" s="67"/>
      <c r="C54" s="68"/>
      <c r="D54" s="68"/>
      <c r="E54" s="67"/>
    </row>
    <row r="55" spans="1:5" ht="20.100000000000001" customHeight="1" x14ac:dyDescent="0.25">
      <c r="A55" s="67"/>
      <c r="B55" s="67"/>
      <c r="C55" s="68"/>
      <c r="D55" s="68"/>
      <c r="E55" s="67"/>
    </row>
    <row r="56" spans="1:5" ht="20.100000000000001" customHeight="1" x14ac:dyDescent="0.25">
      <c r="A56" s="67"/>
      <c r="B56" s="67"/>
      <c r="C56" s="68"/>
      <c r="D56" s="68"/>
      <c r="E56" s="67"/>
    </row>
    <row r="57" spans="1:5" ht="20.100000000000001" customHeight="1" x14ac:dyDescent="0.25">
      <c r="A57" s="67"/>
      <c r="B57" s="67"/>
      <c r="C57" s="68"/>
      <c r="D57" s="68"/>
      <c r="E57" s="67"/>
    </row>
    <row r="58" spans="1:5" ht="20.100000000000001" customHeight="1" x14ac:dyDescent="0.25">
      <c r="A58" s="67"/>
      <c r="B58" s="67"/>
      <c r="C58" s="68"/>
      <c r="D58" s="68"/>
      <c r="E58" s="67"/>
    </row>
    <row r="59" spans="1:5" ht="20.100000000000001" customHeight="1" x14ac:dyDescent="0.25">
      <c r="A59" s="67"/>
      <c r="B59" s="67"/>
      <c r="C59" s="68"/>
      <c r="D59" s="68"/>
      <c r="E59" s="67"/>
    </row>
    <row r="60" spans="1:5" ht="20.100000000000001" customHeight="1" x14ac:dyDescent="0.25">
      <c r="A60" s="67"/>
      <c r="B60" s="67"/>
      <c r="C60" s="68"/>
      <c r="D60" s="68"/>
      <c r="E60" s="67"/>
    </row>
  </sheetData>
  <sheetProtection algorithmName="SHA-512" hashValue="Ea5ROV2KzCk8IeypPOcNfGZoQzB9WPPa1NHWUvFggu1jTKrG2oKYzA1/N4uYqFHECBPDNVsTLq/j7isAQpFb4Q==" saltValue="n6qSxpTNdxAfkRhvVtYVAg==" spinCount="100000" sheet="1" formatCells="0" formatColumns="0" formatRows="0"/>
  <pageMargins left="0.7" right="0.7" top="0.75" bottom="0.75" header="0.51180555555555496" footer="0.51180555555555496"/>
  <pageSetup paperSize="9" firstPageNumber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E10"/>
  <sheetViews>
    <sheetView showGridLines="0" zoomScaleNormal="100" workbookViewId="0">
      <selection activeCell="B5" sqref="B5"/>
    </sheetView>
  </sheetViews>
  <sheetFormatPr baseColWidth="10" defaultColWidth="11.42578125" defaultRowHeight="15" x14ac:dyDescent="0.25"/>
  <cols>
    <col min="1" max="4" width="13.7109375" style="12" customWidth="1"/>
    <col min="5" max="5" width="4.7109375" style="12" customWidth="1"/>
    <col min="6" max="6" width="10.7109375" style="12" customWidth="1"/>
    <col min="7" max="7" width="4.7109375" style="12" customWidth="1"/>
    <col min="8" max="8" width="13.7109375" style="12" customWidth="1"/>
    <col min="9" max="9" width="4.7109375" style="12" customWidth="1"/>
    <col min="10" max="10" width="12" style="12" customWidth="1"/>
    <col min="11" max="11" width="4.7109375" style="12" customWidth="1"/>
    <col min="12" max="12" width="13.7109375" style="12" customWidth="1"/>
    <col min="13" max="13" width="4.7109375" style="12" customWidth="1"/>
    <col min="14" max="14" width="13.7109375" style="12" customWidth="1"/>
    <col min="15" max="16" width="5" style="12" customWidth="1"/>
    <col min="17" max="17" width="7.42578125" style="12" customWidth="1"/>
    <col min="18" max="18" width="12.42578125" style="12" customWidth="1"/>
    <col min="19" max="19" width="7.85546875" style="12" customWidth="1"/>
    <col min="20" max="20" width="13.140625" style="12" customWidth="1"/>
    <col min="21" max="1019" width="11.42578125" style="12"/>
    <col min="1020" max="16384" width="11.42578125" style="14"/>
  </cols>
  <sheetData>
    <row r="1" spans="1:1019" ht="63.75" customHeight="1" x14ac:dyDescent="0.25">
      <c r="A1" s="122" t="s">
        <v>45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3"/>
      <c r="AME1" s="14"/>
    </row>
    <row r="2" spans="1:1019" ht="30" customHeight="1" x14ac:dyDescent="0.25">
      <c r="A2" s="53" t="s">
        <v>24</v>
      </c>
      <c r="B2" s="15"/>
      <c r="C2" s="15"/>
      <c r="H2" s="16"/>
      <c r="L2" s="17"/>
    </row>
    <row r="3" spans="1:1019" ht="34.5" customHeight="1" x14ac:dyDescent="0.25">
      <c r="J3" s="12" t="s">
        <v>26</v>
      </c>
      <c r="L3" s="29" t="s">
        <v>32</v>
      </c>
      <c r="P3" s="13"/>
    </row>
    <row r="4" spans="1:1019" ht="30" customHeight="1" x14ac:dyDescent="0.25">
      <c r="A4" s="12" t="s">
        <v>31</v>
      </c>
      <c r="B4" s="12" t="s">
        <v>0</v>
      </c>
      <c r="C4" s="12" t="s">
        <v>1</v>
      </c>
      <c r="D4" s="12" t="s">
        <v>2</v>
      </c>
      <c r="F4" s="12" t="s">
        <v>23</v>
      </c>
      <c r="H4" s="12" t="s">
        <v>29</v>
      </c>
      <c r="J4" s="18">
        <f>IFERROR(INDEX(Valeurs!C2:C60,MATCH(A5,Valeurs!A2:A60,1)),0)</f>
        <v>0</v>
      </c>
      <c r="K4" s="12" t="s">
        <v>3</v>
      </c>
      <c r="L4" s="30">
        <f>H5*J4</f>
        <v>0</v>
      </c>
      <c r="N4" s="32" t="s">
        <v>4</v>
      </c>
      <c r="P4" s="13"/>
    </row>
    <row r="5" spans="1:1019" ht="30" customHeight="1" x14ac:dyDescent="0.25">
      <c r="A5" s="19"/>
      <c r="B5" s="20"/>
      <c r="C5" s="54" t="str">
        <f>IF(B5=50%,50%,IF(B5=60%,60%,IF(B5=70%,70%,IF(B5=80%,6/7,IF(B5=90%,32/35,IF(B5=100%,100%,""))))))</f>
        <v/>
      </c>
      <c r="D5" s="21"/>
      <c r="E5" s="12" t="s">
        <v>5</v>
      </c>
      <c r="F5" s="22">
        <f>IFERROR(INDEX(Valeurs!B2:B60,MATCH(A5,Valeurs!A2:A60,1)),0)</f>
        <v>0</v>
      </c>
      <c r="G5" s="55" t="s">
        <v>3</v>
      </c>
      <c r="H5" s="27">
        <f>IFERROR(C5*D5*F5,0)</f>
        <v>0</v>
      </c>
      <c r="I5" s="12" t="s">
        <v>5</v>
      </c>
      <c r="L5" s="17"/>
      <c r="M5" s="12" t="s">
        <v>3</v>
      </c>
      <c r="N5" s="31">
        <f>IF(L4&lt;&gt;"",L4+L7,"")</f>
        <v>0</v>
      </c>
      <c r="P5" s="13"/>
    </row>
    <row r="6" spans="1:1019" ht="30" customHeight="1" x14ac:dyDescent="0.25">
      <c r="C6" s="23"/>
      <c r="J6" s="12" t="s">
        <v>6</v>
      </c>
      <c r="L6" s="29" t="s">
        <v>33</v>
      </c>
      <c r="N6" s="17"/>
      <c r="P6" s="13"/>
    </row>
    <row r="7" spans="1:1019" ht="30" customHeight="1" x14ac:dyDescent="0.25">
      <c r="A7" s="24"/>
      <c r="B7" s="24"/>
      <c r="C7" s="24"/>
      <c r="D7" s="24"/>
      <c r="E7" s="24"/>
      <c r="F7" s="24"/>
      <c r="H7" s="16"/>
      <c r="J7" s="18">
        <f>IFERROR(INDEX(Valeurs!D2:D60,MATCH(A5,Valeurs!A2:A60,1)),0)</f>
        <v>0</v>
      </c>
      <c r="K7" s="12" t="s">
        <v>3</v>
      </c>
      <c r="L7" s="30">
        <f>H5*J7</f>
        <v>0</v>
      </c>
      <c r="P7" s="13"/>
    </row>
    <row r="8" spans="1:1019" ht="30" customHeight="1" x14ac:dyDescent="0.25">
      <c r="A8" s="26" t="s">
        <v>30</v>
      </c>
      <c r="B8" s="15"/>
      <c r="C8" s="15"/>
      <c r="H8" s="16"/>
      <c r="L8" s="17"/>
    </row>
    <row r="9" spans="1:1019" x14ac:dyDescent="0.25">
      <c r="A9" s="26" t="s">
        <v>43</v>
      </c>
    </row>
    <row r="10" spans="1:1019" x14ac:dyDescent="0.25">
      <c r="A10" s="77" t="s">
        <v>44</v>
      </c>
    </row>
  </sheetData>
  <sheetProtection algorithmName="SHA-512" hashValue="pkoeXSCuOgjq0ioI/wxrr88GqDmLtdk50ALAIE/PUvEuL6YsCvMlPqfFJTOg2cVgGzqb1JoVanSq+e/P2yaW4A==" saltValue="/eZPTcGuhsaJIs2+vbq4qQ==" spinCount="100000" sheet="1" formatCells="0" formatColumns="0" formatRows="0" sort="0" autoFilter="0" pivotTables="0"/>
  <mergeCells count="1">
    <mergeCell ref="A1:N1"/>
  </mergeCells>
  <dataValidations count="1">
    <dataValidation type="date" operator="greaterThanOrEqual" allowBlank="1" showInputMessage="1" showErrorMessage="1" sqref="A5" xr:uid="{A1F315FD-6336-4CC5-8A11-BE086219BD7E}">
      <formula1>37257</formula1>
    </dataValidation>
  </dataValidations>
  <hyperlinks>
    <hyperlink ref="A10" r:id="rId1" display="https://retraitesdeletat.gouv.fr/professionnels/le-versement-des-cotisations" xr:uid="{2994B977-ED7B-4496-9001-C1F49FCE9D94}"/>
  </hyperlinks>
  <printOptions horizontalCentered="1"/>
  <pageMargins left="0.31527777777777799" right="0.31527777777777799" top="0.59027777777777801" bottom="0.31527777777777799" header="0.51180555555555496" footer="0.51180555555555496"/>
  <pageSetup paperSize="9" firstPageNumber="0" orientation="landscape" horizontalDpi="300" verticalDpi="30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showErrorMessage="1" xr:uid="{00000000-0002-0000-0000-000001000000}">
          <x14:formula1>
            <xm:f>Valeurs!$F$2:$F$7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3C659-0D3F-490C-9BDE-C0C3AF5720D3}">
  <sheetPr>
    <pageSetUpPr fitToPage="1"/>
  </sheetPr>
  <dimension ref="A1:AQ24"/>
  <sheetViews>
    <sheetView showGridLines="0" topLeftCell="E4" zoomScaleNormal="100" workbookViewId="0">
      <selection activeCell="AH14" sqref="AH14"/>
    </sheetView>
  </sheetViews>
  <sheetFormatPr baseColWidth="10" defaultColWidth="11.42578125" defaultRowHeight="15" x14ac:dyDescent="0.25"/>
  <cols>
    <col min="1" max="3" width="13.140625" style="79" customWidth="1"/>
    <col min="4" max="4" width="4.85546875" style="79" customWidth="1"/>
    <col min="5" max="5" width="2.7109375" style="79" customWidth="1"/>
    <col min="6" max="6" width="16.28515625" style="79" customWidth="1"/>
    <col min="7" max="7" width="2.7109375" style="79" customWidth="1"/>
    <col min="8" max="8" width="16.28515625" style="79" customWidth="1"/>
    <col min="9" max="11" width="2.7109375" style="79" customWidth="1"/>
    <col min="12" max="12" width="11.42578125" style="79"/>
    <col min="13" max="14" width="2.7109375" style="79" customWidth="1"/>
    <col min="15" max="15" width="11.42578125" style="79"/>
    <col min="16" max="16" width="2.7109375" style="79" customWidth="1"/>
    <col min="17" max="17" width="14.7109375" style="79" customWidth="1"/>
    <col min="18" max="19" width="2.7109375" style="79" customWidth="1"/>
    <col min="20" max="20" width="16.28515625" style="79" customWidth="1"/>
    <col min="21" max="22" width="2.7109375" style="79" customWidth="1"/>
    <col min="23" max="23" width="15.85546875" style="4" customWidth="1"/>
    <col min="24" max="24" width="8.140625" style="79" customWidth="1"/>
    <col min="25" max="25" width="2.7109375" style="94" customWidth="1"/>
    <col min="26" max="26" width="16.28515625" style="94" customWidth="1"/>
    <col min="27" max="27" width="2.7109375" style="94" customWidth="1"/>
    <col min="28" max="28" width="13.42578125" style="94" customWidth="1"/>
    <col min="29" max="31" width="2.7109375" style="94" customWidth="1"/>
    <col min="32" max="32" width="14.28515625" style="94" customWidth="1"/>
    <col min="33" max="33" width="2.7109375" style="94" customWidth="1"/>
    <col min="34" max="34" width="11.85546875" style="94" customWidth="1"/>
    <col min="35" max="36" width="2.7109375" style="94" customWidth="1"/>
    <col min="37" max="37" width="13.85546875" style="94" customWidth="1"/>
    <col min="38" max="39" width="2.7109375" style="79" customWidth="1"/>
    <col min="40" max="40" width="25.28515625" style="79" customWidth="1"/>
    <col min="41" max="16384" width="11.42578125" style="79"/>
  </cols>
  <sheetData>
    <row r="1" spans="1:43" ht="73.5" customHeight="1" x14ac:dyDescent="0.25">
      <c r="A1" s="125" t="s">
        <v>60</v>
      </c>
      <c r="B1" s="126"/>
      <c r="C1" s="126"/>
      <c r="D1" s="127"/>
      <c r="E1" s="157" t="s">
        <v>59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9"/>
      <c r="Y1" s="160" t="s">
        <v>46</v>
      </c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</row>
    <row r="2" spans="1:43" ht="66" customHeight="1" x14ac:dyDescent="0.25">
      <c r="A2" s="125" t="s">
        <v>61</v>
      </c>
      <c r="B2" s="126"/>
      <c r="C2" s="126"/>
      <c r="D2" s="127"/>
      <c r="E2" s="147" t="s">
        <v>35</v>
      </c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9"/>
      <c r="Y2" s="150" t="s">
        <v>35</v>
      </c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2"/>
    </row>
    <row r="3" spans="1:43" s="94" customFormat="1" ht="30" customHeight="1" x14ac:dyDescent="0.25">
      <c r="A3" s="1" t="s">
        <v>9</v>
      </c>
      <c r="B3" s="1" t="s">
        <v>10</v>
      </c>
      <c r="C3" s="5" t="s">
        <v>11</v>
      </c>
      <c r="E3" s="95"/>
      <c r="F3" s="97" t="s">
        <v>56</v>
      </c>
      <c r="G3" s="91"/>
      <c r="H3" s="33" t="s">
        <v>12</v>
      </c>
      <c r="I3" s="154"/>
      <c r="J3" s="154"/>
      <c r="K3" s="154"/>
      <c r="L3" s="107" t="s">
        <v>11</v>
      </c>
      <c r="M3" s="154"/>
      <c r="N3" s="154"/>
      <c r="O3" s="162" t="s">
        <v>55</v>
      </c>
      <c r="P3" s="162"/>
      <c r="Q3" s="162"/>
      <c r="R3" s="154"/>
      <c r="S3" s="154"/>
      <c r="T3" s="93" t="s">
        <v>13</v>
      </c>
      <c r="U3" s="154"/>
      <c r="V3" s="154"/>
      <c r="W3" s="98" t="s">
        <v>49</v>
      </c>
      <c r="Y3" s="95"/>
      <c r="Z3" s="97" t="s">
        <v>34</v>
      </c>
      <c r="AA3" s="91"/>
      <c r="AB3" s="91" t="s">
        <v>12</v>
      </c>
      <c r="AC3" s="91"/>
      <c r="AD3" s="91"/>
      <c r="AE3" s="91"/>
      <c r="AF3" s="107" t="s">
        <v>53</v>
      </c>
      <c r="AG3" s="91"/>
      <c r="AH3" s="91" t="s">
        <v>13</v>
      </c>
      <c r="AI3" s="91"/>
      <c r="AJ3" s="91"/>
      <c r="AK3" s="98" t="s">
        <v>49</v>
      </c>
    </row>
    <row r="4" spans="1:43" ht="30" customHeight="1" x14ac:dyDescent="0.25">
      <c r="A4" s="8">
        <v>38718</v>
      </c>
      <c r="B4" s="4">
        <v>0.27300000000000002</v>
      </c>
      <c r="C4" s="4">
        <v>0.8</v>
      </c>
      <c r="E4" s="119" t="s">
        <v>14</v>
      </c>
      <c r="F4" s="34">
        <f>'Calcul cotisation Etat'!$J$4</f>
        <v>0</v>
      </c>
      <c r="G4" s="116" t="s">
        <v>5</v>
      </c>
      <c r="H4" s="34">
        <v>0.9</v>
      </c>
      <c r="I4" s="116" t="s">
        <v>15</v>
      </c>
      <c r="J4" s="116" t="s">
        <v>16</v>
      </c>
      <c r="K4" s="116" t="s">
        <v>14</v>
      </c>
      <c r="L4" s="34">
        <v>0.8</v>
      </c>
      <c r="M4" s="116" t="s">
        <v>5</v>
      </c>
      <c r="N4" s="116" t="s">
        <v>17</v>
      </c>
      <c r="O4" s="34">
        <f>'Calcul cotisation Etat'!$J$4</f>
        <v>0</v>
      </c>
      <c r="P4" s="116" t="s">
        <v>16</v>
      </c>
      <c r="Q4" s="34">
        <f>IFERROR(INDEX(B4:B10,MATCH('Calcul cotisation Etat'!A5,A4:A10,1)),0)</f>
        <v>0</v>
      </c>
      <c r="R4" s="116" t="s">
        <v>15</v>
      </c>
      <c r="S4" s="116" t="s">
        <v>5</v>
      </c>
      <c r="T4" s="34">
        <v>0.1</v>
      </c>
      <c r="U4" s="116" t="s">
        <v>18</v>
      </c>
      <c r="V4" s="116" t="s">
        <v>3</v>
      </c>
      <c r="W4" s="36" t="str">
        <f>IF('Calcul cotisation Etat'!$A$5&gt;1,(F4*H4)+(L4*((O4+Q4)*T4)),"")</f>
        <v/>
      </c>
      <c r="Y4" s="95" t="s">
        <v>14</v>
      </c>
      <c r="Z4" s="104">
        <f>F4</f>
        <v>0</v>
      </c>
      <c r="AA4" s="91" t="s">
        <v>50</v>
      </c>
      <c r="AB4" s="104">
        <f>H4</f>
        <v>0.9</v>
      </c>
      <c r="AC4" s="91" t="s">
        <v>15</v>
      </c>
      <c r="AD4" s="91" t="s">
        <v>51</v>
      </c>
      <c r="AE4" s="91" t="s">
        <v>52</v>
      </c>
      <c r="AF4" s="105">
        <v>0.33400000000000002</v>
      </c>
      <c r="AG4" s="91" t="s">
        <v>50</v>
      </c>
      <c r="AH4" s="104">
        <f>T4</f>
        <v>0.1</v>
      </c>
      <c r="AI4" s="91" t="s">
        <v>15</v>
      </c>
      <c r="AJ4" s="91" t="s">
        <v>3</v>
      </c>
      <c r="AK4" s="106" t="str">
        <f>IF('Calcul cotisation Etat'!$A$5&gt;1,(Z4*AB4)+(AF4*AH4),"")</f>
        <v/>
      </c>
    </row>
    <row r="5" spans="1:43" ht="30" customHeight="1" x14ac:dyDescent="0.25">
      <c r="A5" s="8">
        <v>41913</v>
      </c>
      <c r="B5" s="4">
        <v>0.30399999999999999</v>
      </c>
      <c r="C5" s="4">
        <v>0.8</v>
      </c>
      <c r="E5" s="119" t="s">
        <v>14</v>
      </c>
      <c r="F5" s="34">
        <f>'Calcul cotisation Etat'!$J$4</f>
        <v>0</v>
      </c>
      <c r="G5" s="116" t="s">
        <v>5</v>
      </c>
      <c r="H5" s="34">
        <v>0.8</v>
      </c>
      <c r="I5" s="116" t="s">
        <v>15</v>
      </c>
      <c r="J5" s="116" t="s">
        <v>16</v>
      </c>
      <c r="K5" s="116" t="s">
        <v>14</v>
      </c>
      <c r="L5" s="34">
        <v>0.8</v>
      </c>
      <c r="M5" s="116" t="s">
        <v>5</v>
      </c>
      <c r="N5" s="116" t="s">
        <v>17</v>
      </c>
      <c r="O5" s="34">
        <f>'Calcul cotisation Etat'!$J$4</f>
        <v>0</v>
      </c>
      <c r="P5" s="116" t="s">
        <v>16</v>
      </c>
      <c r="Q5" s="34">
        <f>IFERROR(INDEX(B4:B10,MATCH('Calcul cotisation Etat'!A5,A4:A10,1)),0)</f>
        <v>0</v>
      </c>
      <c r="R5" s="116" t="s">
        <v>15</v>
      </c>
      <c r="S5" s="116" t="s">
        <v>5</v>
      </c>
      <c r="T5" s="34">
        <v>0.2</v>
      </c>
      <c r="U5" s="116" t="s">
        <v>18</v>
      </c>
      <c r="V5" s="116" t="s">
        <v>3</v>
      </c>
      <c r="W5" s="36" t="str">
        <f>IF('Calcul cotisation Etat'!$A$5&gt;1,(F5*H5)+(L5*((O5+Q5)*T5)),"")</f>
        <v/>
      </c>
      <c r="Y5" s="95" t="s">
        <v>14</v>
      </c>
      <c r="Z5" s="104">
        <f t="shared" ref="Z5:Z8" si="0">F5</f>
        <v>0</v>
      </c>
      <c r="AA5" s="91" t="s">
        <v>50</v>
      </c>
      <c r="AB5" s="104">
        <f t="shared" ref="AB5:AB8" si="1">H5</f>
        <v>0.8</v>
      </c>
      <c r="AC5" s="91" t="s">
        <v>15</v>
      </c>
      <c r="AD5" s="91" t="s">
        <v>51</v>
      </c>
      <c r="AE5" s="91" t="s">
        <v>52</v>
      </c>
      <c r="AF5" s="105">
        <v>0.33400000000000002</v>
      </c>
      <c r="AG5" s="91" t="s">
        <v>50</v>
      </c>
      <c r="AH5" s="104">
        <f t="shared" ref="AH5:AH8" si="2">T5</f>
        <v>0.2</v>
      </c>
      <c r="AI5" s="91" t="s">
        <v>15</v>
      </c>
      <c r="AJ5" s="91" t="s">
        <v>3</v>
      </c>
      <c r="AK5" s="106" t="str">
        <f>IF('Calcul cotisation Etat'!$A$5&gt;1,(Z5*AB5)+(AF5*AH5),"")</f>
        <v/>
      </c>
    </row>
    <row r="6" spans="1:43" ht="30" customHeight="1" x14ac:dyDescent="0.25">
      <c r="A6" s="8">
        <v>42005</v>
      </c>
      <c r="B6" s="4">
        <v>0.30499999999999999</v>
      </c>
      <c r="C6" s="4">
        <v>0.8</v>
      </c>
      <c r="E6" s="119" t="s">
        <v>14</v>
      </c>
      <c r="F6" s="34">
        <f>'Calcul cotisation Etat'!$J$4</f>
        <v>0</v>
      </c>
      <c r="G6" s="116" t="s">
        <v>5</v>
      </c>
      <c r="H6" s="34">
        <v>0.7</v>
      </c>
      <c r="I6" s="116" t="s">
        <v>15</v>
      </c>
      <c r="J6" s="116" t="s">
        <v>16</v>
      </c>
      <c r="K6" s="116" t="s">
        <v>14</v>
      </c>
      <c r="L6" s="34">
        <v>0.8</v>
      </c>
      <c r="M6" s="116" t="s">
        <v>5</v>
      </c>
      <c r="N6" s="116" t="s">
        <v>17</v>
      </c>
      <c r="O6" s="34">
        <f>'Calcul cotisation Etat'!$J$4</f>
        <v>0</v>
      </c>
      <c r="P6" s="116" t="s">
        <v>16</v>
      </c>
      <c r="Q6" s="34">
        <f>IFERROR(INDEX(B4:B10,MATCH('Calcul cotisation Etat'!A5,A4:A10,1)),0)</f>
        <v>0</v>
      </c>
      <c r="R6" s="116" t="s">
        <v>15</v>
      </c>
      <c r="S6" s="116" t="s">
        <v>5</v>
      </c>
      <c r="T6" s="34">
        <v>0.3</v>
      </c>
      <c r="U6" s="116" t="s">
        <v>18</v>
      </c>
      <c r="V6" s="116" t="s">
        <v>3</v>
      </c>
      <c r="W6" s="36" t="str">
        <f>IF('Calcul cotisation Etat'!$A$5&gt;1,(F6*H6)+(L6*((O6+Q6)*T6)),"")</f>
        <v/>
      </c>
      <c r="Y6" s="95" t="s">
        <v>14</v>
      </c>
      <c r="Z6" s="104">
        <f t="shared" si="0"/>
        <v>0</v>
      </c>
      <c r="AA6" s="91" t="s">
        <v>50</v>
      </c>
      <c r="AB6" s="104">
        <f t="shared" si="1"/>
        <v>0.7</v>
      </c>
      <c r="AC6" s="91" t="s">
        <v>15</v>
      </c>
      <c r="AD6" s="91" t="s">
        <v>51</v>
      </c>
      <c r="AE6" s="91" t="s">
        <v>52</v>
      </c>
      <c r="AF6" s="105">
        <v>0.33400000000000002</v>
      </c>
      <c r="AG6" s="91" t="s">
        <v>50</v>
      </c>
      <c r="AH6" s="104">
        <f t="shared" si="2"/>
        <v>0.3</v>
      </c>
      <c r="AI6" s="91" t="s">
        <v>15</v>
      </c>
      <c r="AJ6" s="91" t="s">
        <v>3</v>
      </c>
      <c r="AK6" s="106" t="str">
        <f>IF('Calcul cotisation Etat'!$A$5&gt;1,(Z6*AB6)+(AF6*AH6),"")</f>
        <v/>
      </c>
    </row>
    <row r="7" spans="1:43" ht="30" customHeight="1" x14ac:dyDescent="0.25">
      <c r="A7" s="8">
        <v>42370</v>
      </c>
      <c r="B7" s="4">
        <v>0.30599999999999999</v>
      </c>
      <c r="C7" s="4">
        <v>0.8</v>
      </c>
      <c r="E7" s="119" t="s">
        <v>14</v>
      </c>
      <c r="F7" s="34">
        <f>'Calcul cotisation Etat'!$J$4</f>
        <v>0</v>
      </c>
      <c r="G7" s="116" t="s">
        <v>5</v>
      </c>
      <c r="H7" s="34">
        <v>0.6</v>
      </c>
      <c r="I7" s="116" t="s">
        <v>15</v>
      </c>
      <c r="J7" s="116" t="s">
        <v>16</v>
      </c>
      <c r="K7" s="116" t="s">
        <v>14</v>
      </c>
      <c r="L7" s="34">
        <v>0.8</v>
      </c>
      <c r="M7" s="116" t="s">
        <v>5</v>
      </c>
      <c r="N7" s="116" t="s">
        <v>17</v>
      </c>
      <c r="O7" s="34">
        <f>'Calcul cotisation Etat'!$J$4</f>
        <v>0</v>
      </c>
      <c r="P7" s="116" t="s">
        <v>16</v>
      </c>
      <c r="Q7" s="34">
        <f>IFERROR(INDEX(B4:B10,MATCH('Calcul cotisation Etat'!A5,A4:A10,1)),0)</f>
        <v>0</v>
      </c>
      <c r="R7" s="116" t="s">
        <v>15</v>
      </c>
      <c r="S7" s="116" t="s">
        <v>5</v>
      </c>
      <c r="T7" s="34">
        <v>0.4</v>
      </c>
      <c r="U7" s="116" t="s">
        <v>18</v>
      </c>
      <c r="V7" s="116" t="s">
        <v>3</v>
      </c>
      <c r="W7" s="36" t="str">
        <f>IF('Calcul cotisation Etat'!$A$5&gt;1,(F7*H7)+(L7*((O7+Q7)*T7)),"")</f>
        <v/>
      </c>
      <c r="Y7" s="95" t="s">
        <v>14</v>
      </c>
      <c r="Z7" s="104">
        <f t="shared" si="0"/>
        <v>0</v>
      </c>
      <c r="AA7" s="91" t="s">
        <v>50</v>
      </c>
      <c r="AB7" s="104">
        <f t="shared" si="1"/>
        <v>0.6</v>
      </c>
      <c r="AC7" s="91" t="s">
        <v>15</v>
      </c>
      <c r="AD7" s="91" t="s">
        <v>51</v>
      </c>
      <c r="AE7" s="91" t="s">
        <v>52</v>
      </c>
      <c r="AF7" s="105">
        <v>0.33400000000000002</v>
      </c>
      <c r="AG7" s="91" t="s">
        <v>50</v>
      </c>
      <c r="AH7" s="104">
        <f t="shared" si="2"/>
        <v>0.4</v>
      </c>
      <c r="AI7" s="91" t="s">
        <v>15</v>
      </c>
      <c r="AJ7" s="91" t="s">
        <v>3</v>
      </c>
      <c r="AK7" s="106" t="str">
        <f>IF('Calcul cotisation Etat'!$A$5&gt;1,(Z7*AB7)+(AF7*AH7),"")</f>
        <v/>
      </c>
    </row>
    <row r="8" spans="1:43" ht="30" customHeight="1" x14ac:dyDescent="0.25">
      <c r="A8" s="8">
        <v>42736</v>
      </c>
      <c r="B8" s="4">
        <v>0.30649999999999999</v>
      </c>
      <c r="C8" s="4">
        <v>0.8</v>
      </c>
      <c r="E8" s="119" t="s">
        <v>14</v>
      </c>
      <c r="F8" s="34">
        <f>'Calcul cotisation Etat'!$J$4</f>
        <v>0</v>
      </c>
      <c r="G8" s="116" t="s">
        <v>5</v>
      </c>
      <c r="H8" s="34">
        <v>0.5</v>
      </c>
      <c r="I8" s="116" t="s">
        <v>15</v>
      </c>
      <c r="J8" s="116" t="s">
        <v>16</v>
      </c>
      <c r="K8" s="116" t="s">
        <v>14</v>
      </c>
      <c r="L8" s="34">
        <v>0.8</v>
      </c>
      <c r="M8" s="116" t="s">
        <v>5</v>
      </c>
      <c r="N8" s="116" t="s">
        <v>17</v>
      </c>
      <c r="O8" s="34">
        <f>'Calcul cotisation Etat'!$J$4</f>
        <v>0</v>
      </c>
      <c r="P8" s="116" t="s">
        <v>16</v>
      </c>
      <c r="Q8" s="34">
        <f>IFERROR(INDEX(B4:B10,MATCH('Calcul cotisation Etat'!A5,A4:A10,1)),0)</f>
        <v>0</v>
      </c>
      <c r="R8" s="116" t="s">
        <v>15</v>
      </c>
      <c r="S8" s="116" t="s">
        <v>5</v>
      </c>
      <c r="T8" s="34">
        <v>0.5</v>
      </c>
      <c r="U8" s="116" t="s">
        <v>18</v>
      </c>
      <c r="V8" s="116" t="s">
        <v>3</v>
      </c>
      <c r="W8" s="36" t="str">
        <f>IF('Calcul cotisation Etat'!$A$5&gt;1,(F8*H8)+(L8*((O8+Q8)*T8)),"")</f>
        <v/>
      </c>
      <c r="Y8" s="95" t="s">
        <v>14</v>
      </c>
      <c r="Z8" s="104">
        <f t="shared" si="0"/>
        <v>0</v>
      </c>
      <c r="AA8" s="91" t="s">
        <v>50</v>
      </c>
      <c r="AB8" s="104">
        <f t="shared" si="1"/>
        <v>0.5</v>
      </c>
      <c r="AC8" s="91" t="s">
        <v>15</v>
      </c>
      <c r="AD8" s="91" t="s">
        <v>51</v>
      </c>
      <c r="AE8" s="91" t="s">
        <v>52</v>
      </c>
      <c r="AF8" s="105">
        <v>0.33400000000000002</v>
      </c>
      <c r="AG8" s="91" t="s">
        <v>50</v>
      </c>
      <c r="AH8" s="104">
        <f t="shared" si="2"/>
        <v>0.5</v>
      </c>
      <c r="AI8" s="91" t="s">
        <v>15</v>
      </c>
      <c r="AJ8" s="91" t="s">
        <v>3</v>
      </c>
      <c r="AK8" s="106" t="str">
        <f>IF('Calcul cotisation Etat'!$A$5&gt;1,(Z8*AB8)+(AF8*AH8),"")</f>
        <v/>
      </c>
    </row>
    <row r="9" spans="1:43" ht="30" customHeight="1" x14ac:dyDescent="0.25">
      <c r="A9" s="8">
        <v>45292</v>
      </c>
      <c r="B9" s="74">
        <v>0.3165</v>
      </c>
      <c r="C9" s="4">
        <v>0.8</v>
      </c>
      <c r="F9" s="5"/>
      <c r="G9" s="5"/>
      <c r="H9" s="5"/>
      <c r="J9" s="5"/>
      <c r="L9" s="5"/>
      <c r="M9" s="5"/>
      <c r="O9" s="5"/>
      <c r="P9" s="5"/>
      <c r="Q9" s="5"/>
      <c r="S9" s="5"/>
      <c r="T9" s="5"/>
      <c r="V9" s="5"/>
    </row>
    <row r="10" spans="1:43" ht="30" customHeight="1" x14ac:dyDescent="0.25">
      <c r="A10" s="8">
        <v>45658</v>
      </c>
      <c r="B10" s="74">
        <v>0.34649999999999997</v>
      </c>
      <c r="C10" s="4">
        <v>0.8</v>
      </c>
      <c r="F10" s="5"/>
      <c r="G10" s="5"/>
      <c r="H10" s="5"/>
      <c r="J10" s="5"/>
      <c r="L10" s="5"/>
      <c r="M10" s="5"/>
      <c r="O10" s="5"/>
      <c r="P10" s="5"/>
      <c r="Q10" s="5"/>
      <c r="S10" s="5"/>
      <c r="T10" s="5"/>
      <c r="V10" s="5"/>
    </row>
    <row r="11" spans="1:43" ht="50.1" customHeight="1" x14ac:dyDescent="0.25">
      <c r="A11" s="2" t="s">
        <v>7</v>
      </c>
      <c r="B11" s="2" t="s">
        <v>8</v>
      </c>
      <c r="E11" s="147" t="s">
        <v>48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9"/>
      <c r="Y11" s="150" t="s">
        <v>48</v>
      </c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2"/>
    </row>
    <row r="12" spans="1:43" ht="42" customHeight="1" x14ac:dyDescent="0.25">
      <c r="A12" s="6" t="s">
        <v>12</v>
      </c>
      <c r="B12" s="7" t="s">
        <v>13</v>
      </c>
      <c r="C12" s="28"/>
      <c r="E12" s="80"/>
      <c r="F12" s="97" t="s">
        <v>49</v>
      </c>
      <c r="G12" s="107"/>
      <c r="H12" s="97" t="s">
        <v>54</v>
      </c>
      <c r="I12" s="153"/>
      <c r="J12" s="153"/>
      <c r="K12" s="153"/>
      <c r="L12" s="97" t="s">
        <v>57</v>
      </c>
      <c r="M12" s="153"/>
      <c r="N12" s="153"/>
      <c r="O12" s="121" t="s">
        <v>1</v>
      </c>
      <c r="P12" s="107"/>
      <c r="Q12" s="97" t="s">
        <v>54</v>
      </c>
      <c r="R12" s="154"/>
      <c r="S12" s="154"/>
      <c r="T12" s="155" t="s">
        <v>58</v>
      </c>
      <c r="U12" s="155"/>
      <c r="V12" s="155"/>
      <c r="W12" s="156"/>
      <c r="Y12" s="80"/>
      <c r="Z12" s="97" t="s">
        <v>49</v>
      </c>
      <c r="AA12" s="107"/>
      <c r="AB12" s="97" t="s">
        <v>54</v>
      </c>
      <c r="AC12" s="153"/>
      <c r="AD12" s="153"/>
      <c r="AE12" s="153"/>
      <c r="AF12" s="97" t="s">
        <v>57</v>
      </c>
      <c r="AG12" s="110"/>
      <c r="AH12" s="121" t="s">
        <v>1</v>
      </c>
      <c r="AI12" s="108"/>
      <c r="AJ12" s="107"/>
      <c r="AK12" s="97" t="s">
        <v>54</v>
      </c>
      <c r="AL12" s="154"/>
      <c r="AM12" s="154"/>
      <c r="AN12" s="109" t="s">
        <v>58</v>
      </c>
    </row>
    <row r="13" spans="1:43" ht="30" customHeight="1" x14ac:dyDescent="0.25">
      <c r="A13" s="4">
        <v>0.9</v>
      </c>
      <c r="B13" s="4">
        <v>0.1</v>
      </c>
      <c r="C13" s="28"/>
      <c r="E13" s="119" t="s">
        <v>14</v>
      </c>
      <c r="F13" s="34" t="str">
        <f>IF('Calcul cotisation Etat'!B5=100%,"",IF('Calcul cotisation Etat'!B5=90%,W4,IF('Calcul cotisation Etat'!B5=80%,W5,IF('Calcul cotisation Etat'!B5=70%,W6,IF('Calcul cotisation Etat'!B5=60%,W7,IF('Calcul cotisation Etat'!B5=50%,W8,""))))))</f>
        <v/>
      </c>
      <c r="G13" s="116" t="s">
        <v>5</v>
      </c>
      <c r="H13" s="37" t="str">
        <f>IF(AND('Calcul cotisation Etat'!C5&gt;0,'Calcul cotisation Etat'!C5&lt;1),('Calcul cotisation Etat'!D5*'Calcul cotisation Etat'!F5),"")</f>
        <v/>
      </c>
      <c r="I13" s="116" t="s">
        <v>15</v>
      </c>
      <c r="J13" s="92" t="s">
        <v>19</v>
      </c>
      <c r="K13" s="116" t="s">
        <v>14</v>
      </c>
      <c r="L13" s="34" t="str">
        <f>IF('Calcul cotisation Etat'!C5&lt;1,'Calcul cotisation Etat'!J4,"")</f>
        <v/>
      </c>
      <c r="M13" s="134" t="s">
        <v>5</v>
      </c>
      <c r="N13" s="134"/>
      <c r="O13" s="34" t="str">
        <f>IF(AND('Calcul cotisation Etat'!B5&gt;0,'Calcul cotisation Etat'!B5&lt;1),'Calcul cotisation Etat'!C5,"")</f>
        <v/>
      </c>
      <c r="P13" s="116" t="s">
        <v>5</v>
      </c>
      <c r="Q13" s="37" t="str">
        <f>IF(AND('Calcul cotisation Etat'!C5&gt;0,'Calcul cotisation Etat'!C5&lt;1),('Calcul cotisation Etat'!D5*'Calcul cotisation Etat'!F5),"")</f>
        <v/>
      </c>
      <c r="R13" s="116" t="s">
        <v>15</v>
      </c>
      <c r="S13" s="92" t="s">
        <v>3</v>
      </c>
      <c r="T13" s="135" t="str">
        <f>IF(AND('Calcul cotisation Etat'!C5&gt;0,'Calcul cotisation Etat'!C5&lt;1),(F13*H13)-(L13*O13*Q13),"")</f>
        <v/>
      </c>
      <c r="U13" s="135"/>
      <c r="V13" s="135"/>
      <c r="W13" s="136"/>
      <c r="Y13" s="119" t="s">
        <v>14</v>
      </c>
      <c r="Z13" s="34" t="str">
        <f>IF('Calcul cotisation Etat'!B5=100%,"",IF('Calcul cotisation Etat'!B5=90%,AK4,IF('Calcul cotisation Etat'!B5=80%,AK5,IF('Calcul cotisation Etat'!B5=70%,AK6,IF('Calcul cotisation Etat'!B5=60%,AK7,IF('Calcul cotisation Etat'!B5=50%,AK8,""))))))</f>
        <v/>
      </c>
      <c r="AA13" s="116" t="s">
        <v>5</v>
      </c>
      <c r="AB13" s="37" t="str">
        <f>IF(AND('Calcul cotisation Etat'!C5&gt;0,'Calcul cotisation Etat'!C5&lt;1),('Calcul cotisation Etat'!D5*'Calcul cotisation Etat'!F5),"")</f>
        <v/>
      </c>
      <c r="AC13" s="116" t="s">
        <v>15</v>
      </c>
      <c r="AD13" s="116" t="s">
        <v>19</v>
      </c>
      <c r="AE13" s="116" t="s">
        <v>14</v>
      </c>
      <c r="AF13" s="34" t="str">
        <f>IF('Calcul cotisation Etat'!C5&lt;1,'Calcul cotisation Etat'!J4,"")</f>
        <v/>
      </c>
      <c r="AG13" s="117" t="s">
        <v>5</v>
      </c>
      <c r="AH13" s="34" t="str">
        <f>IF(AND('Calcul cotisation Etat'!B5&gt;0,'Calcul cotisation Etat'!B5&lt;1),'Calcul cotisation Etat'!C5,"")</f>
        <v/>
      </c>
      <c r="AI13" s="116" t="s">
        <v>5</v>
      </c>
      <c r="AJ13" s="92"/>
      <c r="AK13" s="37" t="str">
        <f>IF(AND('Calcul cotisation Etat'!C5&gt;0,'Calcul cotisation Etat'!C5&lt;1),('Calcul cotisation Etat'!D5*'Calcul cotisation Etat'!F5),"")</f>
        <v/>
      </c>
      <c r="AL13" s="116" t="s">
        <v>15</v>
      </c>
      <c r="AM13" s="116" t="s">
        <v>3</v>
      </c>
      <c r="AN13" s="111" t="str">
        <f>IF(AND('Calcul cotisation Etat'!C5&gt;0,'Calcul cotisation Etat'!C5&lt;1),(Z13*AB13)-(AF13*AH13*AK13),"")</f>
        <v/>
      </c>
    </row>
    <row r="14" spans="1:43" ht="30" customHeight="1" x14ac:dyDescent="0.25">
      <c r="A14" s="4">
        <v>0.8</v>
      </c>
      <c r="B14" s="4">
        <v>0.2</v>
      </c>
      <c r="C14" s="28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</row>
    <row r="15" spans="1:43" ht="30" customHeight="1" x14ac:dyDescent="0.25">
      <c r="A15" s="4">
        <v>0.7</v>
      </c>
      <c r="B15" s="4">
        <v>0.3</v>
      </c>
      <c r="D15" s="81"/>
      <c r="E15" s="9"/>
      <c r="F15" s="137" t="s">
        <v>20</v>
      </c>
      <c r="G15" s="137"/>
      <c r="H15" s="137"/>
      <c r="I15" s="137"/>
      <c r="J15" s="100"/>
      <c r="K15" s="138" t="s">
        <v>21</v>
      </c>
      <c r="L15" s="138"/>
      <c r="M15" s="138"/>
      <c r="N15" s="138"/>
      <c r="O15" s="138"/>
      <c r="P15" s="138"/>
      <c r="Q15" s="138"/>
      <c r="R15" s="138"/>
      <c r="S15" s="100"/>
      <c r="T15" s="139" t="s">
        <v>22</v>
      </c>
      <c r="U15" s="140"/>
      <c r="V15" s="140"/>
      <c r="W15" s="141"/>
      <c r="X15" s="82"/>
      <c r="Y15" s="163" t="s">
        <v>20</v>
      </c>
      <c r="Z15" s="164"/>
      <c r="AA15" s="4"/>
      <c r="AB15" s="165" t="s">
        <v>62</v>
      </c>
      <c r="AC15" s="166"/>
      <c r="AD15" s="166"/>
      <c r="AE15" s="166"/>
      <c r="AF15" s="167"/>
      <c r="AG15" s="4"/>
      <c r="AH15" s="168" t="s">
        <v>22</v>
      </c>
      <c r="AI15" s="169"/>
      <c r="AJ15" s="169"/>
      <c r="AK15" s="169"/>
      <c r="AL15" s="169"/>
      <c r="AM15" s="170"/>
      <c r="AN15" s="82"/>
      <c r="AO15" s="82"/>
      <c r="AP15" s="82"/>
      <c r="AQ15" s="82"/>
    </row>
    <row r="16" spans="1:43" ht="30" customHeight="1" x14ac:dyDescent="0.25">
      <c r="A16" s="4">
        <v>0.6</v>
      </c>
      <c r="B16" s="4">
        <v>0.4</v>
      </c>
      <c r="D16" s="83"/>
      <c r="E16" s="11"/>
      <c r="F16" s="142" t="str">
        <f>IF(AND('Calcul cotisation Etat'!C5&gt;0,'Calcul cotisation Etat'!C5&lt;1),T13,"")</f>
        <v/>
      </c>
      <c r="G16" s="142"/>
      <c r="H16" s="142"/>
      <c r="I16" s="142"/>
      <c r="J16" s="11" t="s">
        <v>16</v>
      </c>
      <c r="K16" s="143" t="str">
        <f>IF(AND('Calcul cotisation Etat'!C5&gt;0,'Calcul cotisation Etat'!C5&lt;1),'Calcul cotisation Etat'!L7+'Calcul cotisation Etat'!L4,"")</f>
        <v/>
      </c>
      <c r="L16" s="143"/>
      <c r="M16" s="143"/>
      <c r="N16" s="143"/>
      <c r="O16" s="143"/>
      <c r="P16" s="143"/>
      <c r="Q16" s="143"/>
      <c r="R16" s="143"/>
      <c r="S16" s="38" t="s">
        <v>3</v>
      </c>
      <c r="T16" s="144" t="str">
        <f>IFERROR((F16+K16),"")</f>
        <v/>
      </c>
      <c r="U16" s="145"/>
      <c r="V16" s="145"/>
      <c r="W16" s="146"/>
      <c r="Y16" s="171" t="str">
        <f>IF(AND('Calcul cotisation Etat'!C5&gt;0,'Calcul cotisation Etat'!C5&lt;1),AN13,"")</f>
        <v/>
      </c>
      <c r="Z16" s="172"/>
      <c r="AA16" s="94" t="s">
        <v>51</v>
      </c>
      <c r="AB16" s="171" t="str">
        <f>IF(AND('Calcul cotisation Etat'!C5&gt;0,'Calcul cotisation Etat'!C5&lt;1),'Calcul cotisation Etat'!L7+'Calcul cotisation Etat'!L4,"")</f>
        <v/>
      </c>
      <c r="AC16" s="173"/>
      <c r="AD16" s="173"/>
      <c r="AE16" s="173"/>
      <c r="AF16" s="172"/>
      <c r="AG16" s="94" t="s">
        <v>3</v>
      </c>
      <c r="AH16" s="171" t="str">
        <f>IFERROR(Y16+AB16,"")</f>
        <v/>
      </c>
      <c r="AI16" s="173"/>
      <c r="AJ16" s="173"/>
      <c r="AK16" s="173"/>
      <c r="AL16" s="173"/>
      <c r="AM16" s="172"/>
    </row>
    <row r="17" spans="1:39" ht="30" customHeight="1" x14ac:dyDescent="0.25">
      <c r="A17" s="4">
        <v>0.5</v>
      </c>
      <c r="B17" s="4">
        <v>0.5</v>
      </c>
      <c r="D17" s="83"/>
      <c r="E17" s="83"/>
      <c r="F17" s="10"/>
      <c r="G17" s="10"/>
      <c r="H17" s="10"/>
      <c r="I17" s="83"/>
      <c r="J17" s="10"/>
      <c r="K17" s="128" t="s">
        <v>41</v>
      </c>
      <c r="L17" s="129"/>
      <c r="M17" s="129"/>
      <c r="N17" s="129"/>
      <c r="O17" s="101"/>
      <c r="P17" s="129" t="s">
        <v>42</v>
      </c>
      <c r="Q17" s="129"/>
      <c r="R17" s="130"/>
      <c r="S17" s="101"/>
      <c r="T17" s="102" t="s">
        <v>41</v>
      </c>
      <c r="U17" s="129"/>
      <c r="V17" s="129"/>
      <c r="W17" s="103" t="s">
        <v>42</v>
      </c>
      <c r="AB17" s="174" t="s">
        <v>41</v>
      </c>
      <c r="AC17" s="175"/>
      <c r="AD17" s="115"/>
      <c r="AE17" s="175" t="s">
        <v>42</v>
      </c>
      <c r="AF17" s="176"/>
      <c r="AG17" s="113"/>
      <c r="AH17" s="174" t="s">
        <v>41</v>
      </c>
      <c r="AI17" s="175"/>
      <c r="AJ17" s="115"/>
      <c r="AK17" s="175" t="s">
        <v>42</v>
      </c>
      <c r="AL17" s="175"/>
      <c r="AM17" s="176"/>
    </row>
    <row r="18" spans="1:39" ht="30" customHeight="1" x14ac:dyDescent="0.25">
      <c r="A18" s="4"/>
      <c r="B18" s="4"/>
      <c r="D18" s="83"/>
      <c r="E18" s="83"/>
      <c r="F18" s="10"/>
      <c r="G18" s="10"/>
      <c r="H18" s="10"/>
      <c r="I18" s="83"/>
      <c r="J18" s="10"/>
      <c r="K18" s="131" t="str">
        <f>IF('Calcul cotisation Etat'!C5&lt;1,'Calcul cotisation Etat'!L4,"")</f>
        <v/>
      </c>
      <c r="L18" s="131"/>
      <c r="M18" s="131"/>
      <c r="N18" s="131"/>
      <c r="O18" s="76" t="s">
        <v>16</v>
      </c>
      <c r="P18" s="132" t="str">
        <f>IF('Calcul cotisation Etat'!C5&lt;1,'Calcul cotisation Etat'!L7,"")</f>
        <v/>
      </c>
      <c r="Q18" s="132"/>
      <c r="R18" s="132"/>
      <c r="S18" s="75"/>
      <c r="T18" s="89" t="str">
        <f>IFERROR(K18+F16,"")</f>
        <v/>
      </c>
      <c r="U18" s="133" t="s">
        <v>16</v>
      </c>
      <c r="V18" s="133"/>
      <c r="W18" s="90" t="str">
        <f>IFERROR(P18+0,"")</f>
        <v/>
      </c>
      <c r="AB18" s="171" t="str">
        <f>IF('Calcul cotisation Etat'!C5&lt;1,'Calcul cotisation Etat'!L4,"")</f>
        <v/>
      </c>
      <c r="AC18" s="173"/>
      <c r="AD18" s="114" t="s">
        <v>51</v>
      </c>
      <c r="AE18" s="173" t="str">
        <f>IF('Calcul cotisation Etat'!C5&lt;1,'Calcul cotisation Etat'!L7,"")</f>
        <v/>
      </c>
      <c r="AF18" s="172"/>
      <c r="AH18" s="171" t="str">
        <f>IFERROR(AB18+Y16,"")</f>
        <v/>
      </c>
      <c r="AI18" s="173"/>
      <c r="AJ18" s="114" t="s">
        <v>51</v>
      </c>
      <c r="AK18" s="173" t="str">
        <f>AE18</f>
        <v/>
      </c>
      <c r="AL18" s="173"/>
      <c r="AM18" s="172"/>
    </row>
    <row r="19" spans="1:39" ht="30.75" customHeight="1" x14ac:dyDescent="0.25">
      <c r="B19" s="82"/>
      <c r="D19" s="73"/>
      <c r="E19" s="83"/>
      <c r="F19" s="124"/>
      <c r="G19" s="124"/>
      <c r="H19" s="124"/>
      <c r="I19" s="124"/>
    </row>
    <row r="20" spans="1:39" ht="30" customHeight="1" x14ac:dyDescent="0.25">
      <c r="B20" s="82"/>
    </row>
    <row r="21" spans="1:39" ht="30" customHeight="1" x14ac:dyDescent="0.25">
      <c r="B21" s="82"/>
    </row>
    <row r="22" spans="1:39" ht="30" customHeight="1" x14ac:dyDescent="0.25">
      <c r="B22" s="82"/>
    </row>
    <row r="23" spans="1:39" ht="30" customHeight="1" x14ac:dyDescent="0.25">
      <c r="B23" s="82"/>
    </row>
    <row r="24" spans="1:39" x14ac:dyDescent="0.25">
      <c r="B24" s="82"/>
    </row>
  </sheetData>
  <sheetProtection algorithmName="SHA-512" hashValue="nbJWpExCJj6wvEOCyBXH6eW7U58NLgQv/A0lvxx250OrHoHVyx1y6vqHjdnR3njz/8bKQOlMDfVcLR0JP16TTQ==" saltValue="+WqpN+YKXuNuCwBfxrrsbQ==" spinCount="100000" sheet="1" formatCells="0" formatColumns="0" formatRows="0" sort="0" autoFilter="0" pivotTables="0"/>
  <mergeCells count="48">
    <mergeCell ref="AB17:AC17"/>
    <mergeCell ref="AE17:AF17"/>
    <mergeCell ref="AH17:AI17"/>
    <mergeCell ref="AK17:AM17"/>
    <mergeCell ref="AB18:AC18"/>
    <mergeCell ref="AE18:AF18"/>
    <mergeCell ref="AH18:AI18"/>
    <mergeCell ref="AK18:AM18"/>
    <mergeCell ref="Y15:Z15"/>
    <mergeCell ref="AB15:AF15"/>
    <mergeCell ref="AH15:AM15"/>
    <mergeCell ref="Y16:Z16"/>
    <mergeCell ref="AB16:AF16"/>
    <mergeCell ref="AH16:AM16"/>
    <mergeCell ref="I3:K3"/>
    <mergeCell ref="M3:N3"/>
    <mergeCell ref="O3:Q3"/>
    <mergeCell ref="R3:S3"/>
    <mergeCell ref="U3:V3"/>
    <mergeCell ref="E1:W1"/>
    <mergeCell ref="Y1:AK1"/>
    <mergeCell ref="A1:D1"/>
    <mergeCell ref="E2:W2"/>
    <mergeCell ref="Y2:AK2"/>
    <mergeCell ref="E11:W11"/>
    <mergeCell ref="Y11:AN11"/>
    <mergeCell ref="I12:K12"/>
    <mergeCell ref="M12:N12"/>
    <mergeCell ref="R12:S12"/>
    <mergeCell ref="T12:W12"/>
    <mergeCell ref="AC12:AE12"/>
    <mergeCell ref="AL12:AM12"/>
    <mergeCell ref="F19:I19"/>
    <mergeCell ref="A2:D2"/>
    <mergeCell ref="K17:N17"/>
    <mergeCell ref="P17:R17"/>
    <mergeCell ref="U17:V17"/>
    <mergeCell ref="K18:N18"/>
    <mergeCell ref="P18:R18"/>
    <mergeCell ref="U18:V18"/>
    <mergeCell ref="M13:N13"/>
    <mergeCell ref="T13:W13"/>
    <mergeCell ref="F15:I15"/>
    <mergeCell ref="K15:R15"/>
    <mergeCell ref="T15:W15"/>
    <mergeCell ref="F16:I16"/>
    <mergeCell ref="K16:R16"/>
    <mergeCell ref="T16:W16"/>
  </mergeCells>
  <printOptions horizontalCentered="1"/>
  <pageMargins left="0.25" right="0.25" top="0.75" bottom="0.75" header="0.3" footer="0.3"/>
  <pageSetup paperSize="9" scale="46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01D7-82E2-4824-9CCD-20A7BC515090}">
  <sheetPr>
    <pageSetUpPr fitToPage="1"/>
  </sheetPr>
  <dimension ref="A1:AME11"/>
  <sheetViews>
    <sheetView showGridLines="0" zoomScaleNormal="100" workbookViewId="0">
      <selection activeCell="B5" sqref="B5"/>
    </sheetView>
  </sheetViews>
  <sheetFormatPr baseColWidth="10" defaultColWidth="11.42578125" defaultRowHeight="15" x14ac:dyDescent="0.25"/>
  <cols>
    <col min="1" max="4" width="13.7109375" style="12" customWidth="1"/>
    <col min="5" max="5" width="4.7109375" style="12" customWidth="1"/>
    <col min="6" max="6" width="10.7109375" style="12" customWidth="1"/>
    <col min="7" max="7" width="4.7109375" style="12" customWidth="1"/>
    <col min="8" max="8" width="13.7109375" style="12" customWidth="1"/>
    <col min="9" max="9" width="4.7109375" style="12" customWidth="1"/>
    <col min="10" max="10" width="12" style="12" customWidth="1"/>
    <col min="11" max="11" width="4.7109375" style="12" customWidth="1"/>
    <col min="12" max="12" width="13.7109375" style="12" customWidth="1"/>
    <col min="13" max="13" width="4.7109375" style="12" customWidth="1"/>
    <col min="14" max="14" width="13.7109375" style="12" customWidth="1"/>
    <col min="15" max="16" width="5" style="12" customWidth="1"/>
    <col min="17" max="17" width="7.42578125" style="12" customWidth="1"/>
    <col min="18" max="18" width="12.42578125" style="12" customWidth="1"/>
    <col min="19" max="19" width="7.85546875" style="12" customWidth="1"/>
    <col min="20" max="20" width="13.140625" style="12" customWidth="1"/>
    <col min="21" max="1019" width="11.42578125" style="12"/>
    <col min="1020" max="16384" width="11.42578125" style="14"/>
  </cols>
  <sheetData>
    <row r="1" spans="1:1019" ht="63.75" customHeight="1" x14ac:dyDescent="0.25">
      <c r="A1" s="122" t="s">
        <v>63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3"/>
      <c r="AME1" s="14"/>
    </row>
    <row r="2" spans="1:1019" ht="30" customHeight="1" x14ac:dyDescent="0.25">
      <c r="A2" s="78" t="s">
        <v>24</v>
      </c>
      <c r="B2" s="15"/>
      <c r="C2" s="15"/>
      <c r="H2" s="16"/>
      <c r="L2" s="17"/>
    </row>
    <row r="3" spans="1:1019" ht="34.5" customHeight="1" x14ac:dyDescent="0.25">
      <c r="J3" s="12" t="s">
        <v>26</v>
      </c>
      <c r="L3" s="29" t="s">
        <v>32</v>
      </c>
      <c r="P3" s="13"/>
    </row>
    <row r="4" spans="1:1019" ht="30" customHeight="1" x14ac:dyDescent="0.25">
      <c r="A4" s="12" t="s">
        <v>31</v>
      </c>
      <c r="B4" s="12" t="s">
        <v>0</v>
      </c>
      <c r="C4" s="12" t="s">
        <v>1</v>
      </c>
      <c r="D4" s="12" t="s">
        <v>2</v>
      </c>
      <c r="F4" s="12" t="s">
        <v>23</v>
      </c>
      <c r="H4" s="12" t="s">
        <v>29</v>
      </c>
      <c r="J4" s="18">
        <f>IFERROR(INDEX(Valeurs!C2:C60,MATCH(A5,Valeurs!A2:A60,1)),0)</f>
        <v>0</v>
      </c>
      <c r="K4" s="12" t="s">
        <v>3</v>
      </c>
      <c r="L4" s="30">
        <f>H5*J4</f>
        <v>0</v>
      </c>
      <c r="N4" s="32" t="s">
        <v>4</v>
      </c>
      <c r="P4" s="13"/>
    </row>
    <row r="5" spans="1:1019" ht="30" customHeight="1" x14ac:dyDescent="0.25">
      <c r="A5" s="19"/>
      <c r="B5" s="20"/>
      <c r="C5" s="54" t="str">
        <f>IF(B5=50%,50%,IF(B5=60%,60%,IF(B5=70%,70%,IF(B5=80%,6/7,IF(B5=90%,32/35,IF(B5=100%,100%,""))))))</f>
        <v/>
      </c>
      <c r="D5" s="21"/>
      <c r="E5" s="12" t="s">
        <v>5</v>
      </c>
      <c r="F5" s="22">
        <f>IFERROR(INDEX(Valeurs!B2:B60,MATCH(A5,Valeurs!A2:A60,1)),0)</f>
        <v>0</v>
      </c>
      <c r="G5" s="55" t="s">
        <v>3</v>
      </c>
      <c r="H5" s="27">
        <f>IFERROR(C5*D5*F5,0)</f>
        <v>0</v>
      </c>
      <c r="I5" s="12" t="s">
        <v>5</v>
      </c>
      <c r="L5" s="17"/>
      <c r="M5" s="12" t="s">
        <v>3</v>
      </c>
      <c r="N5" s="31">
        <f>IF(L4&lt;&gt;"",L4+L7,"")</f>
        <v>0</v>
      </c>
      <c r="P5" s="13"/>
    </row>
    <row r="6" spans="1:1019" ht="30" customHeight="1" x14ac:dyDescent="0.25">
      <c r="C6" s="23"/>
      <c r="J6" s="12" t="s">
        <v>6</v>
      </c>
      <c r="L6" s="29" t="s">
        <v>33</v>
      </c>
      <c r="N6" s="17"/>
      <c r="P6" s="13"/>
    </row>
    <row r="7" spans="1:1019" ht="30" customHeight="1" x14ac:dyDescent="0.25">
      <c r="A7" s="24"/>
      <c r="B7" s="24"/>
      <c r="C7" s="24"/>
      <c r="D7" s="24"/>
      <c r="E7" s="24"/>
      <c r="F7" s="24"/>
      <c r="H7" s="16"/>
      <c r="J7" s="18">
        <f>IFERROR(INDEX(Valeurs!E2:E60,MATCH(A5,Valeurs!A2:A60,1)),0)</f>
        <v>0</v>
      </c>
      <c r="K7" s="12" t="s">
        <v>3</v>
      </c>
      <c r="L7" s="30">
        <f>H5*J7</f>
        <v>0</v>
      </c>
      <c r="P7" s="13"/>
    </row>
    <row r="8" spans="1:1019" s="42" customFormat="1" ht="24" customHeight="1" x14ac:dyDescent="0.25">
      <c r="A8" s="40" t="s">
        <v>30</v>
      </c>
      <c r="B8" s="41"/>
      <c r="C8" s="41"/>
      <c r="H8" s="43"/>
      <c r="J8" s="44" t="s">
        <v>37</v>
      </c>
      <c r="L8" s="45"/>
    </row>
    <row r="9" spans="1:1019" ht="15" customHeight="1" x14ac:dyDescent="0.25">
      <c r="A9" s="14"/>
      <c r="J9" s="39" t="s">
        <v>40</v>
      </c>
    </row>
    <row r="10" spans="1:1019" x14ac:dyDescent="0.25">
      <c r="A10" s="26" t="s">
        <v>43</v>
      </c>
    </row>
    <row r="11" spans="1:1019" x14ac:dyDescent="0.25">
      <c r="A11" s="77" t="s">
        <v>44</v>
      </c>
    </row>
  </sheetData>
  <sheetProtection algorithmName="SHA-512" hashValue="TwBr+RH/yhTbX6HYQ3VWYpIar1pjpTWy1h90RO/78E1mrOo1LvFZw9mGIsBna5nDSmxfGXh7L/Usrh2KDzvRCg==" saltValue="lI2kMfJr07NrLeIYO13vaQ==" spinCount="100000" sheet="1" formatCells="0" formatColumns="0" formatRows="0" sort="0" autoFilter="0" pivotTables="0"/>
  <mergeCells count="1">
    <mergeCell ref="A1:N1"/>
  </mergeCells>
  <dataValidations count="1">
    <dataValidation type="date" operator="greaterThanOrEqual" allowBlank="1" showInputMessage="1" showErrorMessage="1" sqref="A5" xr:uid="{58917BED-68A3-46A8-8BD1-05C04DF8A9AF}">
      <formula1>37257</formula1>
    </dataValidation>
  </dataValidations>
  <hyperlinks>
    <hyperlink ref="J8" r:id="rId1" xr:uid="{BC676EF6-C07A-4949-B8C3-C0659373E140}"/>
    <hyperlink ref="A11" r:id="rId2" display="https://retraitesdeletat.gouv.fr/professionnels/le-versement-des-cotisations" xr:uid="{CD15FBC5-9D9B-4734-BD1D-95CD76E92FAC}"/>
  </hyperlinks>
  <printOptions horizontalCentered="1"/>
  <pageMargins left="0.31527777777777799" right="0.31527777777777799" top="0.59027777777777801" bottom="0.31527777777777799" header="0.51180555555555496" footer="0.51180555555555496"/>
  <pageSetup paperSize="9" firstPageNumber="0" orientation="landscape" horizontalDpi="300" verticalDpi="300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showErrorMessage="1" xr:uid="{878DC1FB-98D5-4824-AC87-8BB0544746D4}">
          <x14:formula1>
            <xm:f>Valeurs!$F$2:$F$7</xm:f>
          </x14:formula1>
          <xm:sqref>B5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D367-137F-46F3-8192-4FCB47D46A20}">
  <sheetPr>
    <pageSetUpPr fitToPage="1"/>
  </sheetPr>
  <dimension ref="A1:AN23"/>
  <sheetViews>
    <sheetView showGridLines="0" tabSelected="1" zoomScaleNormal="100" workbookViewId="0">
      <selection activeCell="AH14" sqref="AH14"/>
    </sheetView>
  </sheetViews>
  <sheetFormatPr baseColWidth="10" defaultColWidth="11.42578125" defaultRowHeight="15" x14ac:dyDescent="0.25"/>
  <cols>
    <col min="1" max="3" width="13.140625" style="79" customWidth="1"/>
    <col min="4" max="4" width="4.85546875" style="79" customWidth="1"/>
    <col min="5" max="5" width="2.7109375" style="79" customWidth="1"/>
    <col min="6" max="6" width="16.28515625" style="79" customWidth="1"/>
    <col min="7" max="7" width="2.7109375" style="79" customWidth="1"/>
    <col min="8" max="8" width="16.28515625" style="79" customWidth="1"/>
    <col min="9" max="11" width="2.7109375" style="79" customWidth="1"/>
    <col min="12" max="12" width="11.42578125" style="79"/>
    <col min="13" max="14" width="2.7109375" style="79" customWidth="1"/>
    <col min="15" max="15" width="11.42578125" style="79"/>
    <col min="16" max="16" width="2.7109375" style="79" customWidth="1"/>
    <col min="17" max="17" width="14.7109375" style="79" customWidth="1"/>
    <col min="18" max="19" width="2.7109375" style="79" customWidth="1"/>
    <col min="20" max="20" width="16.28515625" style="79" customWidth="1"/>
    <col min="21" max="22" width="2.7109375" style="79" customWidth="1"/>
    <col min="23" max="23" width="15.85546875" style="4" customWidth="1"/>
    <col min="24" max="24" width="8.140625" style="79" customWidth="1"/>
    <col min="25" max="25" width="2.7109375" style="94" customWidth="1"/>
    <col min="26" max="26" width="16.28515625" style="94" customWidth="1"/>
    <col min="27" max="27" width="2.7109375" style="94" customWidth="1"/>
    <col min="28" max="28" width="13.42578125" style="94" customWidth="1"/>
    <col min="29" max="31" width="2.7109375" style="94" customWidth="1"/>
    <col min="32" max="32" width="14.28515625" style="94" customWidth="1"/>
    <col min="33" max="33" width="2.7109375" style="94" customWidth="1"/>
    <col min="34" max="34" width="11.85546875" style="94" customWidth="1"/>
    <col min="35" max="36" width="2.7109375" style="94" customWidth="1"/>
    <col min="37" max="37" width="13.85546875" style="94" customWidth="1"/>
    <col min="38" max="39" width="2.7109375" style="79" customWidth="1"/>
    <col min="40" max="40" width="22.42578125" style="79" customWidth="1"/>
    <col min="41" max="16384" width="11.42578125" style="79"/>
  </cols>
  <sheetData>
    <row r="1" spans="1:40" ht="73.5" customHeight="1" x14ac:dyDescent="0.25">
      <c r="A1" s="125" t="s">
        <v>47</v>
      </c>
      <c r="B1" s="126"/>
      <c r="C1" s="126"/>
      <c r="D1" s="127"/>
      <c r="E1" s="157" t="s">
        <v>59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9"/>
      <c r="Y1" s="160" t="s">
        <v>46</v>
      </c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</row>
    <row r="2" spans="1:40" ht="66" customHeight="1" x14ac:dyDescent="0.25">
      <c r="A2" s="125" t="s">
        <v>61</v>
      </c>
      <c r="B2" s="126"/>
      <c r="C2" s="126"/>
      <c r="D2" s="127"/>
      <c r="E2" s="147" t="s">
        <v>35</v>
      </c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9"/>
      <c r="Y2" s="150" t="s">
        <v>35</v>
      </c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2"/>
    </row>
    <row r="3" spans="1:40" s="94" customFormat="1" ht="30" customHeight="1" x14ac:dyDescent="0.25">
      <c r="A3" s="1" t="s">
        <v>9</v>
      </c>
      <c r="B3" s="1" t="s">
        <v>10</v>
      </c>
      <c r="C3" s="5" t="s">
        <v>11</v>
      </c>
      <c r="E3" s="95"/>
      <c r="F3" s="96" t="s">
        <v>56</v>
      </c>
      <c r="G3" s="84"/>
      <c r="H3" s="33" t="s">
        <v>12</v>
      </c>
      <c r="I3" s="154"/>
      <c r="J3" s="154"/>
      <c r="K3" s="154"/>
      <c r="L3" s="99" t="s">
        <v>11</v>
      </c>
      <c r="M3" s="154"/>
      <c r="N3" s="154"/>
      <c r="O3" s="162" t="s">
        <v>55</v>
      </c>
      <c r="P3" s="162"/>
      <c r="Q3" s="162"/>
      <c r="R3" s="154"/>
      <c r="S3" s="154"/>
      <c r="T3" s="85" t="s">
        <v>13</v>
      </c>
      <c r="U3" s="154"/>
      <c r="V3" s="154"/>
      <c r="W3" s="98" t="s">
        <v>49</v>
      </c>
      <c r="Y3" s="95"/>
      <c r="Z3" s="97" t="s">
        <v>34</v>
      </c>
      <c r="AA3" s="84"/>
      <c r="AB3" s="84" t="s">
        <v>12</v>
      </c>
      <c r="AC3" s="84"/>
      <c r="AD3" s="84"/>
      <c r="AE3" s="84"/>
      <c r="AF3" s="107" t="s">
        <v>53</v>
      </c>
      <c r="AG3" s="84"/>
      <c r="AH3" s="84" t="s">
        <v>13</v>
      </c>
      <c r="AI3" s="84"/>
      <c r="AJ3" s="84"/>
      <c r="AK3" s="98" t="s">
        <v>49</v>
      </c>
    </row>
    <row r="4" spans="1:40" ht="30" customHeight="1" x14ac:dyDescent="0.25">
      <c r="A4" s="8">
        <v>38718</v>
      </c>
      <c r="B4" s="4">
        <v>0.27300000000000002</v>
      </c>
      <c r="C4" s="4">
        <v>0.8</v>
      </c>
      <c r="E4" s="35" t="s">
        <v>14</v>
      </c>
      <c r="F4" s="34">
        <f>'Calcul cotisation FPT-FPH'!$J$4</f>
        <v>0</v>
      </c>
      <c r="G4" s="86" t="s">
        <v>5</v>
      </c>
      <c r="H4" s="34">
        <v>0.9</v>
      </c>
      <c r="I4" s="86" t="s">
        <v>15</v>
      </c>
      <c r="J4" s="86" t="s">
        <v>16</v>
      </c>
      <c r="K4" s="86" t="s">
        <v>14</v>
      </c>
      <c r="L4" s="34">
        <v>0.8</v>
      </c>
      <c r="M4" s="86" t="s">
        <v>5</v>
      </c>
      <c r="N4" s="86" t="s">
        <v>17</v>
      </c>
      <c r="O4" s="34">
        <f>'Calcul cotisation FPT-FPH'!$J$4</f>
        <v>0</v>
      </c>
      <c r="P4" s="86" t="s">
        <v>16</v>
      </c>
      <c r="Q4" s="34">
        <f>IFERROR(INDEX(B4:B10,MATCH('Calcul cotisation FPT-FPH'!A5,A4:A10,1)),0)</f>
        <v>0</v>
      </c>
      <c r="R4" s="86" t="s">
        <v>15</v>
      </c>
      <c r="S4" s="86" t="s">
        <v>5</v>
      </c>
      <c r="T4" s="34">
        <v>0.1</v>
      </c>
      <c r="U4" s="86" t="s">
        <v>18</v>
      </c>
      <c r="V4" s="86" t="s">
        <v>3</v>
      </c>
      <c r="W4" s="36" t="str">
        <f>IF('Calcul cotisation FPT-FPH'!$A$5&gt;1,(F4*H4)+(L4*((O4+Q4)*T4)),"")</f>
        <v/>
      </c>
      <c r="Y4" s="95" t="s">
        <v>14</v>
      </c>
      <c r="Z4" s="104">
        <f>F4</f>
        <v>0</v>
      </c>
      <c r="AA4" s="84" t="s">
        <v>50</v>
      </c>
      <c r="AB4" s="104">
        <f>H4</f>
        <v>0.9</v>
      </c>
      <c r="AC4" s="84" t="s">
        <v>15</v>
      </c>
      <c r="AD4" s="84" t="s">
        <v>51</v>
      </c>
      <c r="AE4" s="84" t="s">
        <v>52</v>
      </c>
      <c r="AF4" s="105">
        <v>0.33400000000000002</v>
      </c>
      <c r="AG4" s="118" t="s">
        <v>50</v>
      </c>
      <c r="AH4" s="104">
        <f>T4</f>
        <v>0.1</v>
      </c>
      <c r="AI4" s="84" t="s">
        <v>15</v>
      </c>
      <c r="AJ4" s="84" t="s">
        <v>3</v>
      </c>
      <c r="AK4" s="106" t="str">
        <f>IF('Calcul cotisation FPT-FPH'!$A$5&gt;1,(Z4*AB4)+(AF4*AH4),"")</f>
        <v/>
      </c>
    </row>
    <row r="5" spans="1:40" ht="30" customHeight="1" x14ac:dyDescent="0.25">
      <c r="A5" s="8">
        <v>41913</v>
      </c>
      <c r="B5" s="4">
        <v>0.30399999999999999</v>
      </c>
      <c r="C5" s="4">
        <v>0.8</v>
      </c>
      <c r="E5" s="35" t="s">
        <v>14</v>
      </c>
      <c r="F5" s="34">
        <f>'Calcul cotisation FPT-FPH'!$J$4</f>
        <v>0</v>
      </c>
      <c r="G5" s="86" t="s">
        <v>5</v>
      </c>
      <c r="H5" s="34">
        <v>0.8</v>
      </c>
      <c r="I5" s="86" t="s">
        <v>15</v>
      </c>
      <c r="J5" s="86" t="s">
        <v>16</v>
      </c>
      <c r="K5" s="86" t="s">
        <v>14</v>
      </c>
      <c r="L5" s="34">
        <v>0.8</v>
      </c>
      <c r="M5" s="86" t="s">
        <v>5</v>
      </c>
      <c r="N5" s="86" t="s">
        <v>17</v>
      </c>
      <c r="O5" s="34">
        <f>'Calcul cotisation FPT-FPH'!$J$4</f>
        <v>0</v>
      </c>
      <c r="P5" s="86" t="s">
        <v>16</v>
      </c>
      <c r="Q5" s="34">
        <f>IFERROR(INDEX(B4:B10,MATCH('Calcul cotisation FPT-FPH'!A5,A4:A10,1)),0)</f>
        <v>0</v>
      </c>
      <c r="R5" s="86" t="s">
        <v>15</v>
      </c>
      <c r="S5" s="86" t="s">
        <v>5</v>
      </c>
      <c r="T5" s="34">
        <v>0.2</v>
      </c>
      <c r="U5" s="86" t="s">
        <v>18</v>
      </c>
      <c r="V5" s="86" t="s">
        <v>3</v>
      </c>
      <c r="W5" s="36" t="str">
        <f>IF('Calcul cotisation FPT-FPH'!$A$5&gt;1,(F5*H5)+(L5*((O5+Q5)*T5)),"")</f>
        <v/>
      </c>
      <c r="Y5" s="95" t="s">
        <v>14</v>
      </c>
      <c r="Z5" s="104">
        <f t="shared" ref="Z5:Z8" si="0">F5</f>
        <v>0</v>
      </c>
      <c r="AA5" s="84" t="s">
        <v>50</v>
      </c>
      <c r="AB5" s="104">
        <f t="shared" ref="AB5:AB8" si="1">H5</f>
        <v>0.8</v>
      </c>
      <c r="AC5" s="84" t="s">
        <v>15</v>
      </c>
      <c r="AD5" s="84" t="s">
        <v>51</v>
      </c>
      <c r="AE5" s="84" t="s">
        <v>52</v>
      </c>
      <c r="AF5" s="105">
        <v>0.33400000000000002</v>
      </c>
      <c r="AG5" s="118" t="s">
        <v>50</v>
      </c>
      <c r="AH5" s="104">
        <f t="shared" ref="AH5:AH8" si="2">T5</f>
        <v>0.2</v>
      </c>
      <c r="AI5" s="84" t="s">
        <v>15</v>
      </c>
      <c r="AJ5" s="84" t="s">
        <v>3</v>
      </c>
      <c r="AK5" s="106" t="str">
        <f>IF('Calcul cotisation FPT-FPH'!$A$5&gt;1,(Z5*AB5)+(AF5*AH5),"")</f>
        <v/>
      </c>
    </row>
    <row r="6" spans="1:40" ht="30" customHeight="1" x14ac:dyDescent="0.25">
      <c r="A6" s="8">
        <v>42005</v>
      </c>
      <c r="B6" s="4">
        <v>0.30499999999999999</v>
      </c>
      <c r="C6" s="4">
        <v>0.8</v>
      </c>
      <c r="E6" s="35" t="s">
        <v>14</v>
      </c>
      <c r="F6" s="34">
        <f>'Calcul cotisation FPT-FPH'!$J$4</f>
        <v>0</v>
      </c>
      <c r="G6" s="86" t="s">
        <v>5</v>
      </c>
      <c r="H6" s="34">
        <v>0.7</v>
      </c>
      <c r="I6" s="86" t="s">
        <v>15</v>
      </c>
      <c r="J6" s="86" t="s">
        <v>16</v>
      </c>
      <c r="K6" s="86" t="s">
        <v>14</v>
      </c>
      <c r="L6" s="34">
        <v>0.8</v>
      </c>
      <c r="M6" s="86" t="s">
        <v>5</v>
      </c>
      <c r="N6" s="86" t="s">
        <v>17</v>
      </c>
      <c r="O6" s="34">
        <f>'Calcul cotisation FPT-FPH'!$J$4</f>
        <v>0</v>
      </c>
      <c r="P6" s="86" t="s">
        <v>16</v>
      </c>
      <c r="Q6" s="34">
        <f>IFERROR(INDEX(B4:B10,MATCH('Calcul cotisation FPT-FPH'!A5,A4:A10,1)),0)</f>
        <v>0</v>
      </c>
      <c r="R6" s="86" t="s">
        <v>15</v>
      </c>
      <c r="S6" s="86" t="s">
        <v>5</v>
      </c>
      <c r="T6" s="34">
        <v>0.3</v>
      </c>
      <c r="U6" s="86" t="s">
        <v>18</v>
      </c>
      <c r="V6" s="86" t="s">
        <v>3</v>
      </c>
      <c r="W6" s="36" t="str">
        <f>IF('Calcul cotisation FPT-FPH'!$A$5&gt;1,(F6*H6)+(L6*((O6+Q6)*T6)),"")</f>
        <v/>
      </c>
      <c r="Y6" s="95" t="s">
        <v>14</v>
      </c>
      <c r="Z6" s="104">
        <f t="shared" si="0"/>
        <v>0</v>
      </c>
      <c r="AA6" s="84" t="s">
        <v>50</v>
      </c>
      <c r="AB6" s="104">
        <f t="shared" si="1"/>
        <v>0.7</v>
      </c>
      <c r="AC6" s="84" t="s">
        <v>15</v>
      </c>
      <c r="AD6" s="84" t="s">
        <v>51</v>
      </c>
      <c r="AE6" s="84" t="s">
        <v>52</v>
      </c>
      <c r="AF6" s="105">
        <v>0.33400000000000002</v>
      </c>
      <c r="AG6" s="118" t="s">
        <v>50</v>
      </c>
      <c r="AH6" s="104">
        <f t="shared" si="2"/>
        <v>0.3</v>
      </c>
      <c r="AI6" s="84" t="s">
        <v>15</v>
      </c>
      <c r="AJ6" s="84" t="s">
        <v>3</v>
      </c>
      <c r="AK6" s="106" t="str">
        <f>IF('Calcul cotisation FPT-FPH'!$A$5&gt;1,(Z6*AB6)+(AF6*AH6),"")</f>
        <v/>
      </c>
    </row>
    <row r="7" spans="1:40" ht="30" customHeight="1" x14ac:dyDescent="0.25">
      <c r="A7" s="8">
        <v>42370</v>
      </c>
      <c r="B7" s="4">
        <v>0.30599999999999999</v>
      </c>
      <c r="C7" s="4">
        <v>0.8</v>
      </c>
      <c r="E7" s="35" t="s">
        <v>14</v>
      </c>
      <c r="F7" s="34">
        <f>'Calcul cotisation FPT-FPH'!$J$4</f>
        <v>0</v>
      </c>
      <c r="G7" s="86" t="s">
        <v>5</v>
      </c>
      <c r="H7" s="34">
        <v>0.6</v>
      </c>
      <c r="I7" s="86" t="s">
        <v>15</v>
      </c>
      <c r="J7" s="86" t="s">
        <v>16</v>
      </c>
      <c r="K7" s="86" t="s">
        <v>14</v>
      </c>
      <c r="L7" s="34">
        <v>0.8</v>
      </c>
      <c r="M7" s="86" t="s">
        <v>5</v>
      </c>
      <c r="N7" s="86" t="s">
        <v>17</v>
      </c>
      <c r="O7" s="34">
        <f>'Calcul cotisation FPT-FPH'!$J$4</f>
        <v>0</v>
      </c>
      <c r="P7" s="86" t="s">
        <v>16</v>
      </c>
      <c r="Q7" s="34">
        <f>IFERROR(INDEX(B4:B10,MATCH('Calcul cotisation FPT-FPH'!A5,A4:A10,1)),0)</f>
        <v>0</v>
      </c>
      <c r="R7" s="86" t="s">
        <v>15</v>
      </c>
      <c r="S7" s="86" t="s">
        <v>5</v>
      </c>
      <c r="T7" s="34">
        <v>0.4</v>
      </c>
      <c r="U7" s="86" t="s">
        <v>18</v>
      </c>
      <c r="V7" s="86" t="s">
        <v>3</v>
      </c>
      <c r="W7" s="36" t="str">
        <f>IF('Calcul cotisation FPT-FPH'!$A$5&gt;1,(F7*H7)+(L7*((O7+Q7)*T7)),"")</f>
        <v/>
      </c>
      <c r="Y7" s="95" t="s">
        <v>14</v>
      </c>
      <c r="Z7" s="104">
        <f t="shared" si="0"/>
        <v>0</v>
      </c>
      <c r="AA7" s="84" t="s">
        <v>50</v>
      </c>
      <c r="AB7" s="104">
        <f t="shared" si="1"/>
        <v>0.6</v>
      </c>
      <c r="AC7" s="84" t="s">
        <v>15</v>
      </c>
      <c r="AD7" s="84" t="s">
        <v>51</v>
      </c>
      <c r="AE7" s="84" t="s">
        <v>52</v>
      </c>
      <c r="AF7" s="105">
        <v>0.33400000000000002</v>
      </c>
      <c r="AG7" s="118" t="s">
        <v>50</v>
      </c>
      <c r="AH7" s="104">
        <f t="shared" si="2"/>
        <v>0.4</v>
      </c>
      <c r="AI7" s="84" t="s">
        <v>15</v>
      </c>
      <c r="AJ7" s="84" t="s">
        <v>3</v>
      </c>
      <c r="AK7" s="106" t="str">
        <f>IF('Calcul cotisation FPT-FPH'!$A$5&gt;1,(Z7*AB7)+(AF7*AH7),"")</f>
        <v/>
      </c>
    </row>
    <row r="8" spans="1:40" ht="30" customHeight="1" x14ac:dyDescent="0.25">
      <c r="A8" s="8">
        <v>42736</v>
      </c>
      <c r="B8" s="4">
        <v>0.30649999999999999</v>
      </c>
      <c r="C8" s="4">
        <v>0.8</v>
      </c>
      <c r="E8" s="35" t="s">
        <v>14</v>
      </c>
      <c r="F8" s="34">
        <f>'Calcul cotisation FPT-FPH'!$J$4</f>
        <v>0</v>
      </c>
      <c r="G8" s="86" t="s">
        <v>5</v>
      </c>
      <c r="H8" s="34">
        <v>0.5</v>
      </c>
      <c r="I8" s="86" t="s">
        <v>15</v>
      </c>
      <c r="J8" s="86" t="s">
        <v>16</v>
      </c>
      <c r="K8" s="86" t="s">
        <v>14</v>
      </c>
      <c r="L8" s="34">
        <v>0.8</v>
      </c>
      <c r="M8" s="86" t="s">
        <v>5</v>
      </c>
      <c r="N8" s="86" t="s">
        <v>17</v>
      </c>
      <c r="O8" s="34">
        <f>'Calcul cotisation FPT-FPH'!$J$4</f>
        <v>0</v>
      </c>
      <c r="P8" s="86" t="s">
        <v>16</v>
      </c>
      <c r="Q8" s="34">
        <f>IFERROR(INDEX(B4:B10,MATCH('Calcul cotisation FPT-FPH'!A5,A4:A10,1)),0)</f>
        <v>0</v>
      </c>
      <c r="R8" s="86" t="s">
        <v>15</v>
      </c>
      <c r="S8" s="86" t="s">
        <v>5</v>
      </c>
      <c r="T8" s="34">
        <v>0.5</v>
      </c>
      <c r="U8" s="86" t="s">
        <v>18</v>
      </c>
      <c r="V8" s="86" t="s">
        <v>3</v>
      </c>
      <c r="W8" s="36" t="str">
        <f>IF('Calcul cotisation FPT-FPH'!$A$5&gt;1,(F8*H8)+(L8*((O8+Q8)*T8)),"")</f>
        <v/>
      </c>
      <c r="Y8" s="95" t="s">
        <v>14</v>
      </c>
      <c r="Z8" s="104">
        <f t="shared" si="0"/>
        <v>0</v>
      </c>
      <c r="AA8" s="84" t="s">
        <v>50</v>
      </c>
      <c r="AB8" s="104">
        <f t="shared" si="1"/>
        <v>0.5</v>
      </c>
      <c r="AC8" s="84" t="s">
        <v>15</v>
      </c>
      <c r="AD8" s="84" t="s">
        <v>51</v>
      </c>
      <c r="AE8" s="84" t="s">
        <v>52</v>
      </c>
      <c r="AF8" s="105">
        <v>0.33400000000000002</v>
      </c>
      <c r="AG8" s="118" t="s">
        <v>50</v>
      </c>
      <c r="AH8" s="104">
        <f t="shared" si="2"/>
        <v>0.5</v>
      </c>
      <c r="AI8" s="84" t="s">
        <v>15</v>
      </c>
      <c r="AJ8" s="84" t="s">
        <v>3</v>
      </c>
      <c r="AK8" s="106" t="str">
        <f>IF('Calcul cotisation FPT-FPH'!$A$5&gt;1,(Z8*AB8)+(AF8*AH8),"")</f>
        <v/>
      </c>
    </row>
    <row r="9" spans="1:40" ht="30" customHeight="1" x14ac:dyDescent="0.25">
      <c r="A9" s="8">
        <v>45292</v>
      </c>
      <c r="B9" s="74">
        <v>0.3165</v>
      </c>
      <c r="C9" s="4">
        <v>0.8</v>
      </c>
      <c r="F9" s="5"/>
      <c r="G9" s="5"/>
      <c r="H9" s="5"/>
      <c r="J9" s="5"/>
      <c r="L9" s="5"/>
      <c r="M9" s="5"/>
      <c r="O9" s="5"/>
      <c r="P9" s="5"/>
      <c r="Q9" s="5"/>
      <c r="S9" s="5"/>
      <c r="T9" s="5"/>
      <c r="V9" s="5"/>
    </row>
    <row r="10" spans="1:40" ht="30" customHeight="1" x14ac:dyDescent="0.25">
      <c r="A10" s="8">
        <v>45658</v>
      </c>
      <c r="B10" s="74">
        <v>0.34649999999999997</v>
      </c>
      <c r="C10" s="4">
        <v>0.8</v>
      </c>
      <c r="F10" s="5"/>
      <c r="G10" s="5"/>
      <c r="H10" s="5"/>
      <c r="J10" s="5"/>
      <c r="L10" s="5"/>
      <c r="M10" s="5"/>
      <c r="O10" s="5"/>
      <c r="P10" s="5"/>
      <c r="Q10" s="5"/>
      <c r="S10" s="5"/>
      <c r="T10" s="5"/>
      <c r="V10" s="5"/>
    </row>
    <row r="11" spans="1:40" ht="50.1" customHeight="1" x14ac:dyDescent="0.25">
      <c r="A11" s="2" t="s">
        <v>7</v>
      </c>
      <c r="B11" s="2" t="s">
        <v>8</v>
      </c>
      <c r="E11" s="147" t="s">
        <v>48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9"/>
      <c r="Y11" s="150" t="s">
        <v>48</v>
      </c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2"/>
    </row>
    <row r="12" spans="1:40" ht="42" customHeight="1" x14ac:dyDescent="0.25">
      <c r="A12" s="6" t="s">
        <v>12</v>
      </c>
      <c r="B12" s="7" t="s">
        <v>13</v>
      </c>
      <c r="C12" s="28"/>
      <c r="E12" s="80"/>
      <c r="F12" s="96" t="s">
        <v>49</v>
      </c>
      <c r="G12" s="99"/>
      <c r="H12" s="96" t="s">
        <v>54</v>
      </c>
      <c r="I12" s="153"/>
      <c r="J12" s="153"/>
      <c r="K12" s="153"/>
      <c r="L12" s="96" t="s">
        <v>57</v>
      </c>
      <c r="M12" s="153"/>
      <c r="N12" s="153"/>
      <c r="O12" s="121" t="s">
        <v>1</v>
      </c>
      <c r="P12" s="99"/>
      <c r="Q12" s="96" t="s">
        <v>54</v>
      </c>
      <c r="R12" s="154"/>
      <c r="S12" s="154"/>
      <c r="T12" s="155" t="s">
        <v>58</v>
      </c>
      <c r="U12" s="155"/>
      <c r="V12" s="155"/>
      <c r="W12" s="156"/>
      <c r="Y12" s="80"/>
      <c r="Z12" s="96" t="s">
        <v>49</v>
      </c>
      <c r="AA12" s="99"/>
      <c r="AB12" s="96" t="s">
        <v>54</v>
      </c>
      <c r="AC12" s="153"/>
      <c r="AD12" s="153"/>
      <c r="AE12" s="153"/>
      <c r="AF12" s="96" t="s">
        <v>57</v>
      </c>
      <c r="AG12" s="110"/>
      <c r="AH12" s="121" t="s">
        <v>1</v>
      </c>
      <c r="AI12" s="108"/>
      <c r="AJ12" s="99"/>
      <c r="AK12" s="96" t="s">
        <v>54</v>
      </c>
      <c r="AL12" s="154"/>
      <c r="AM12" s="154"/>
      <c r="AN12" s="112" t="s">
        <v>58</v>
      </c>
    </row>
    <row r="13" spans="1:40" ht="30" customHeight="1" x14ac:dyDescent="0.25">
      <c r="A13" s="4">
        <v>0.9</v>
      </c>
      <c r="B13" s="4">
        <v>0.1</v>
      </c>
      <c r="C13" s="28"/>
      <c r="E13" s="35" t="s">
        <v>14</v>
      </c>
      <c r="F13" s="34" t="str">
        <f>IF('Calcul cotisation FPT-FPH'!B5=100%,"",IF('Calcul cotisation FPT-FPH'!B5=90%,'Surcotisation employeur FPT-FPH'!W4,IF('Calcul cotisation FPT-FPH'!B5=80%,'Surcotisation employeur FPT-FPH'!W5,IF('Calcul cotisation FPT-FPH'!B5=70%,'Surcotisation employeur FPT-FPH'!W6,IF('Calcul cotisation FPT-FPH'!B5=60%,'Surcotisation employeur FPT-FPH'!W7,IF('Calcul cotisation FPT-FPH'!B5=50%,'Surcotisation employeur FPT-FPH'!W8,""))))))</f>
        <v/>
      </c>
      <c r="G13" s="116" t="s">
        <v>5</v>
      </c>
      <c r="H13" s="37" t="str">
        <f>IF(AND('Calcul cotisation FPT-FPH'!C5&gt;0,'Calcul cotisation FPT-FPH'!C5&lt;1),('Calcul cotisation FPT-FPH'!D5*'Calcul cotisation FPT-FPH'!F5),"")</f>
        <v/>
      </c>
      <c r="I13" s="86" t="s">
        <v>15</v>
      </c>
      <c r="J13" s="86" t="s">
        <v>19</v>
      </c>
      <c r="K13" s="86" t="s">
        <v>14</v>
      </c>
      <c r="L13" s="34" t="str">
        <f>IF('Calcul cotisation FPT-FPH'!C5&lt;1,'Calcul cotisation FPT-FPH'!J4,"")</f>
        <v/>
      </c>
      <c r="M13" s="134" t="s">
        <v>5</v>
      </c>
      <c r="N13" s="134"/>
      <c r="O13" s="34" t="str">
        <f>IF(AND('Calcul cotisation FPT-FPH'!B5&gt;0,'Calcul cotisation FPT-FPH'!B5&lt;1),'Calcul cotisation FPT-FPH'!C5,"")</f>
        <v/>
      </c>
      <c r="P13" s="116" t="s">
        <v>5</v>
      </c>
      <c r="Q13" s="37" t="str">
        <f>IF(AND('Calcul cotisation FPT-FPH'!C5&gt;0,'Calcul cotisation FPT-FPH'!C5&lt;1),('Calcul cotisation FPT-FPH'!D5*'Calcul cotisation FPT-FPH'!F5),"")</f>
        <v/>
      </c>
      <c r="R13" s="86" t="s">
        <v>15</v>
      </c>
      <c r="S13" s="86" t="s">
        <v>3</v>
      </c>
      <c r="T13" s="135" t="str">
        <f>IF(AND('Calcul cotisation FPT-FPH'!C5&gt;0,'Calcul cotisation FPT-FPH'!C5&lt;1),(F13*H13)-(L13*O13*Q13),"")</f>
        <v/>
      </c>
      <c r="U13" s="135"/>
      <c r="V13" s="135"/>
      <c r="W13" s="136"/>
      <c r="Y13" s="35" t="s">
        <v>14</v>
      </c>
      <c r="Z13" s="34" t="str">
        <f>IF('Calcul cotisation FPT-FPH'!B5=100%,"",IF('Calcul cotisation FPT-FPH'!B5=90%,'Surcotisation employeur FPT-FPH'!AK4,IF('Calcul cotisation FPT-FPH'!B5=80%,'Surcotisation employeur FPT-FPH'!AK5,IF('Calcul cotisation FPT-FPH'!B5=70%,'Surcotisation employeur FPT-FPH'!AK6,IF('Calcul cotisation FPT-FPH'!B5=60%,'Surcotisation employeur FPT-FPH'!AK7,IF('Calcul cotisation FPT-FPH'!B5=50%,'Surcotisation employeur FPT-FPH'!AK8,""))))))</f>
        <v/>
      </c>
      <c r="AA13" s="116" t="s">
        <v>5</v>
      </c>
      <c r="AB13" s="37" t="str">
        <f>IF(AND('Calcul cotisation FPT-FPH'!C5&gt;0,'Calcul cotisation FPT-FPH'!C5&lt;1),('Calcul cotisation FPT-FPH'!D5*'Calcul cotisation FPT-FPH'!F5),"")</f>
        <v/>
      </c>
      <c r="AC13" s="86" t="s">
        <v>15</v>
      </c>
      <c r="AD13" s="86" t="s">
        <v>19</v>
      </c>
      <c r="AE13" s="86" t="s">
        <v>14</v>
      </c>
      <c r="AF13" s="34" t="str">
        <f>IF('Calcul cotisation FPT-FPH'!C5&lt;1,'Calcul cotisation FPT-FPH'!J4,"")</f>
        <v/>
      </c>
      <c r="AG13" s="117" t="s">
        <v>5</v>
      </c>
      <c r="AH13" s="34" t="str">
        <f>IF(AND('Calcul cotisation FPT-FPH'!B5&gt;0,'Calcul cotisation FPT-FPH'!B5&lt;1),'Calcul cotisation FPT-FPH'!C5,"")</f>
        <v/>
      </c>
      <c r="AI13" s="116" t="s">
        <v>5</v>
      </c>
      <c r="AJ13" s="86"/>
      <c r="AK13" s="37" t="str">
        <f>IF(AND('Calcul cotisation FPT-FPH'!C5&gt;0,'Calcul cotisation FPT-FPH'!C5&lt;1),('Calcul cotisation FPT-FPH'!D5*'Calcul cotisation FPT-FPH'!F5),"")</f>
        <v/>
      </c>
      <c r="AL13" s="86" t="s">
        <v>15</v>
      </c>
      <c r="AM13" s="86" t="s">
        <v>3</v>
      </c>
      <c r="AN13" s="111" t="str">
        <f>IF(AND('Calcul cotisation FPT-FPH'!C5&gt;0,'Calcul cotisation FPT-FPH'!C5&lt;1),(Z13*AB13)-(AF13*AH13*AK13),"")</f>
        <v/>
      </c>
    </row>
    <row r="14" spans="1:40" ht="30" customHeight="1" x14ac:dyDescent="0.25">
      <c r="A14" s="4">
        <v>0.8</v>
      </c>
      <c r="B14" s="4">
        <v>0.2</v>
      </c>
      <c r="C14" s="28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</row>
    <row r="15" spans="1:40" ht="30" customHeight="1" x14ac:dyDescent="0.25">
      <c r="A15" s="4">
        <v>0.7</v>
      </c>
      <c r="B15" s="4">
        <v>0.3</v>
      </c>
      <c r="D15" s="81"/>
      <c r="E15" s="9"/>
      <c r="F15" s="137" t="s">
        <v>20</v>
      </c>
      <c r="G15" s="137"/>
      <c r="H15" s="137"/>
      <c r="I15" s="137"/>
      <c r="J15" s="100"/>
      <c r="K15" s="138" t="s">
        <v>21</v>
      </c>
      <c r="L15" s="138"/>
      <c r="M15" s="138"/>
      <c r="N15" s="138"/>
      <c r="O15" s="138"/>
      <c r="P15" s="138"/>
      <c r="Q15" s="138"/>
      <c r="R15" s="138"/>
      <c r="S15" s="100"/>
      <c r="T15" s="139" t="s">
        <v>22</v>
      </c>
      <c r="U15" s="140"/>
      <c r="V15" s="140"/>
      <c r="W15" s="141"/>
      <c r="X15" s="82"/>
      <c r="Y15" s="163" t="s">
        <v>20</v>
      </c>
      <c r="Z15" s="164"/>
      <c r="AA15" s="4"/>
      <c r="AB15" s="165" t="s">
        <v>62</v>
      </c>
      <c r="AC15" s="166"/>
      <c r="AD15" s="166"/>
      <c r="AE15" s="166"/>
      <c r="AF15" s="167"/>
      <c r="AG15" s="4"/>
      <c r="AH15" s="168" t="s">
        <v>22</v>
      </c>
      <c r="AI15" s="169"/>
      <c r="AJ15" s="169"/>
      <c r="AK15" s="169"/>
      <c r="AL15" s="169"/>
      <c r="AM15" s="170"/>
    </row>
    <row r="16" spans="1:40" ht="30" customHeight="1" x14ac:dyDescent="0.25">
      <c r="A16" s="4">
        <v>0.6</v>
      </c>
      <c r="B16" s="4">
        <v>0.4</v>
      </c>
      <c r="D16" s="83"/>
      <c r="E16" s="11"/>
      <c r="F16" s="142" t="str">
        <f>IF(AND('Calcul cotisation FPT-FPH'!C5&gt;0,'Calcul cotisation FPT-FPH'!C5&lt;1),T13,"")</f>
        <v/>
      </c>
      <c r="G16" s="142"/>
      <c r="H16" s="142"/>
      <c r="I16" s="142"/>
      <c r="J16" s="11" t="s">
        <v>16</v>
      </c>
      <c r="K16" s="143" t="str">
        <f>IF(AND('Calcul cotisation FPT-FPH'!C5&gt;0,'Calcul cotisation FPT-FPH'!C5&lt;1),'Calcul cotisation FPT-FPH'!L7+'Calcul cotisation FPT-FPH'!L4,"")</f>
        <v/>
      </c>
      <c r="L16" s="143"/>
      <c r="M16" s="143"/>
      <c r="N16" s="143"/>
      <c r="O16" s="143"/>
      <c r="P16" s="143"/>
      <c r="Q16" s="143"/>
      <c r="R16" s="143"/>
      <c r="S16" s="38" t="s">
        <v>3</v>
      </c>
      <c r="T16" s="144" t="str">
        <f>IFERROR((F16+K16),"")</f>
        <v/>
      </c>
      <c r="U16" s="145"/>
      <c r="V16" s="145"/>
      <c r="W16" s="146"/>
      <c r="Y16" s="171" t="str">
        <f>IF(AND('Calcul cotisation FPT-FPH'!C5&gt;0,'Calcul cotisation FPT-FPH'!C5&lt;1),AN13,"")</f>
        <v/>
      </c>
      <c r="Z16" s="172"/>
      <c r="AA16" s="94" t="s">
        <v>51</v>
      </c>
      <c r="AB16" s="171" t="str">
        <f>IF(AND('Calcul cotisation FPT-FPH'!C5&gt;0,'Calcul cotisation FPT-FPH'!C5&lt;1),'Calcul cotisation FPT-FPH'!L7+'Calcul cotisation FPT-FPH'!L4,"")</f>
        <v/>
      </c>
      <c r="AC16" s="173"/>
      <c r="AD16" s="173"/>
      <c r="AE16" s="173"/>
      <c r="AF16" s="172"/>
      <c r="AG16" s="94" t="s">
        <v>3</v>
      </c>
      <c r="AH16" s="171" t="str">
        <f>IFERROR(Y16+AB16,"")</f>
        <v/>
      </c>
      <c r="AI16" s="173"/>
      <c r="AJ16" s="173"/>
      <c r="AK16" s="173"/>
      <c r="AL16" s="173"/>
      <c r="AM16" s="172"/>
    </row>
    <row r="17" spans="1:39" ht="30" customHeight="1" x14ac:dyDescent="0.25">
      <c r="A17" s="4">
        <v>0.5</v>
      </c>
      <c r="B17" s="4">
        <v>0.5</v>
      </c>
      <c r="D17" s="83"/>
      <c r="E17" s="83"/>
      <c r="F17" s="10"/>
      <c r="G17" s="10"/>
      <c r="H17" s="10"/>
      <c r="I17" s="83"/>
      <c r="J17" s="10"/>
      <c r="K17" s="128" t="s">
        <v>41</v>
      </c>
      <c r="L17" s="129"/>
      <c r="M17" s="129"/>
      <c r="N17" s="129"/>
      <c r="O17" s="101"/>
      <c r="P17" s="129" t="s">
        <v>42</v>
      </c>
      <c r="Q17" s="129"/>
      <c r="R17" s="130"/>
      <c r="S17" s="101"/>
      <c r="T17" s="102" t="s">
        <v>41</v>
      </c>
      <c r="U17" s="129"/>
      <c r="V17" s="129"/>
      <c r="W17" s="103" t="s">
        <v>42</v>
      </c>
      <c r="AB17" s="174" t="s">
        <v>41</v>
      </c>
      <c r="AC17" s="175"/>
      <c r="AD17" s="115"/>
      <c r="AE17" s="175" t="s">
        <v>42</v>
      </c>
      <c r="AF17" s="176"/>
      <c r="AG17" s="113"/>
      <c r="AH17" s="174" t="s">
        <v>41</v>
      </c>
      <c r="AI17" s="175"/>
      <c r="AJ17" s="115"/>
      <c r="AK17" s="175" t="s">
        <v>42</v>
      </c>
      <c r="AL17" s="175"/>
      <c r="AM17" s="176"/>
    </row>
    <row r="18" spans="1:39" ht="30" customHeight="1" x14ac:dyDescent="0.25">
      <c r="A18" s="4"/>
      <c r="B18" s="4"/>
      <c r="D18" s="83"/>
      <c r="E18" s="83"/>
      <c r="F18" s="10"/>
      <c r="G18" s="10"/>
      <c r="H18" s="10"/>
      <c r="I18" s="83"/>
      <c r="J18" s="10"/>
      <c r="K18" s="131" t="str">
        <f>IF('Calcul cotisation FPT-FPH'!C5&lt;1,'Calcul cotisation FPT-FPH'!L4,"")</f>
        <v/>
      </c>
      <c r="L18" s="131"/>
      <c r="M18" s="131"/>
      <c r="N18" s="131"/>
      <c r="O18" s="76" t="s">
        <v>16</v>
      </c>
      <c r="P18" s="132" t="str">
        <f>IF('Calcul cotisation FPT-FPH'!C5&lt;1,'Calcul cotisation FPT-FPH'!L7,"")</f>
        <v/>
      </c>
      <c r="Q18" s="132"/>
      <c r="R18" s="132"/>
      <c r="S18" s="75"/>
      <c r="T18" s="87" t="str">
        <f>IFERROR(K18+F16,"")</f>
        <v/>
      </c>
      <c r="U18" s="133" t="s">
        <v>16</v>
      </c>
      <c r="V18" s="133"/>
      <c r="W18" s="88" t="str">
        <f>IFERROR(P18+0,"")</f>
        <v/>
      </c>
      <c r="AB18" s="171" t="str">
        <f>IF('Calcul cotisation FPT-FPH'!C5&lt;1,'Calcul cotisation FPT-FPH'!L4,"")</f>
        <v/>
      </c>
      <c r="AC18" s="173"/>
      <c r="AD18" s="114" t="s">
        <v>51</v>
      </c>
      <c r="AE18" s="173" t="str">
        <f>IF('Calcul cotisation FPT-FPH'!C5&lt;1,'Calcul cotisation FPT-FPH'!L7,"")</f>
        <v/>
      </c>
      <c r="AF18" s="172"/>
      <c r="AH18" s="171" t="str">
        <f>IFERROR(AB18+Y16,"")</f>
        <v/>
      </c>
      <c r="AI18" s="173"/>
      <c r="AJ18" s="114" t="s">
        <v>51</v>
      </c>
      <c r="AK18" s="173" t="str">
        <f>AE18</f>
        <v/>
      </c>
      <c r="AL18" s="173"/>
      <c r="AM18" s="172"/>
    </row>
    <row r="19" spans="1:39" ht="30" customHeight="1" x14ac:dyDescent="0.25">
      <c r="B19" s="82"/>
    </row>
    <row r="20" spans="1:39" ht="30" customHeight="1" x14ac:dyDescent="0.25">
      <c r="B20" s="82"/>
    </row>
    <row r="21" spans="1:39" ht="30" customHeight="1" x14ac:dyDescent="0.25">
      <c r="B21" s="82"/>
    </row>
    <row r="22" spans="1:39" ht="30" customHeight="1" x14ac:dyDescent="0.25">
      <c r="B22" s="82"/>
    </row>
    <row r="23" spans="1:39" x14ac:dyDescent="0.25">
      <c r="B23" s="82"/>
    </row>
  </sheetData>
  <sheetProtection algorithmName="SHA-512" hashValue="Frr1EpeWAvRvvvNhp5BG4lNib4V60BmCFX/MK+n1cnkT8x6vWXc0cyRvAEbbVkYyqS3CCxa0Sz0Y/j2TYWEX5w==" saltValue="x/foouOCPcRQO1HPXXhZqA==" spinCount="100000" sheet="1" formatCells="0" formatColumns="0" formatRows="0" sort="0" autoFilter="0" pivotTables="0"/>
  <mergeCells count="47">
    <mergeCell ref="AB18:AC18"/>
    <mergeCell ref="AE18:AF18"/>
    <mergeCell ref="Y16:Z16"/>
    <mergeCell ref="AH16:AM16"/>
    <mergeCell ref="AH18:AI18"/>
    <mergeCell ref="AK18:AM18"/>
    <mergeCell ref="AH17:AI17"/>
    <mergeCell ref="AH15:AM15"/>
    <mergeCell ref="AK17:AM17"/>
    <mergeCell ref="AB15:AF15"/>
    <mergeCell ref="Y15:Z15"/>
    <mergeCell ref="AB17:AC17"/>
    <mergeCell ref="AE17:AF17"/>
    <mergeCell ref="AB16:AF16"/>
    <mergeCell ref="Y1:AK1"/>
    <mergeCell ref="Y2:AK2"/>
    <mergeCell ref="Y11:AN11"/>
    <mergeCell ref="AC12:AE12"/>
    <mergeCell ref="AL12:AM12"/>
    <mergeCell ref="U18:V18"/>
    <mergeCell ref="E2:W2"/>
    <mergeCell ref="I3:K3"/>
    <mergeCell ref="M3:N3"/>
    <mergeCell ref="O3:Q3"/>
    <mergeCell ref="R3:S3"/>
    <mergeCell ref="U3:V3"/>
    <mergeCell ref="T15:W15"/>
    <mergeCell ref="F16:I16"/>
    <mergeCell ref="K16:R16"/>
    <mergeCell ref="T16:W16"/>
    <mergeCell ref="E11:W11"/>
    <mergeCell ref="K18:N18"/>
    <mergeCell ref="P18:R18"/>
    <mergeCell ref="I12:K12"/>
    <mergeCell ref="M12:N12"/>
    <mergeCell ref="F15:I15"/>
    <mergeCell ref="K15:R15"/>
    <mergeCell ref="E1:W1"/>
    <mergeCell ref="A2:D2"/>
    <mergeCell ref="M13:N13"/>
    <mergeCell ref="A1:D1"/>
    <mergeCell ref="K17:N17"/>
    <mergeCell ref="P17:R17"/>
    <mergeCell ref="T12:W12"/>
    <mergeCell ref="T13:W13"/>
    <mergeCell ref="U17:V17"/>
    <mergeCell ref="R12:S12"/>
  </mergeCells>
  <printOptions horizontalCentered="1"/>
  <pageMargins left="0.25" right="0.25" top="0.75" bottom="0.75" header="0.3" footer="0.3"/>
  <pageSetup paperSize="9" scale="46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Valeurs</vt:lpstr>
      <vt:lpstr>Calcul cotisation Etat</vt:lpstr>
      <vt:lpstr>Surcotisation employeur Etat</vt:lpstr>
      <vt:lpstr>Calcul cotisation FPT-FPH</vt:lpstr>
      <vt:lpstr>Surcotisation employeur FPT-FPH</vt:lpstr>
    </vt:vector>
  </TitlesOfParts>
  <Company>DGFIP-SRE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Clarisse</dc:creator>
  <dc:description/>
  <cp:lastModifiedBy>CHIRON Annie</cp:lastModifiedBy>
  <cp:revision>5</cp:revision>
  <cp:lastPrinted>2024-07-09T12:17:29Z</cp:lastPrinted>
  <dcterms:created xsi:type="dcterms:W3CDTF">2016-09-16T11:46:36Z</dcterms:created>
  <dcterms:modified xsi:type="dcterms:W3CDTF">2025-12-19T13:46:01Z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DGFIP-SRE</vt:lpwstr>
  </property>
  <property fmtid="{D5CDD505-2E9C-101B-9397-08002B2CF9AE}" pid="4" name="DocSecurity">
    <vt:i4>2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